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ieclark/Downloads/"/>
    </mc:Choice>
  </mc:AlternateContent>
  <xr:revisionPtr revIDLastSave="0" documentId="13_ncr:1_{33554D45-294D-7445-BEF6-157CFD03B37B}" xr6:coauthVersionLast="47" xr6:coauthVersionMax="47" xr10:uidLastSave="{00000000-0000-0000-0000-000000000000}"/>
  <bookViews>
    <workbookView xWindow="0" yWindow="500" windowWidth="19420" windowHeight="10420" tabRatio="838" xr2:uid="{D2C6E2FA-5232-4916-978D-EE25D32BCF42}"/>
  </bookViews>
  <sheets>
    <sheet name="Summary" sheetId="14" r:id="rId1"/>
    <sheet name="Inputs" sheetId="1" r:id="rId2"/>
    <sheet name="Bldg Layout" sheetId="7" state="hidden" r:id="rId3"/>
    <sheet name="Zoning" sheetId="8" state="hidden" r:id="rId4"/>
    <sheet name="Cash Flow - Modular" sheetId="2" r:id="rId5"/>
    <sheet name="Cash Flow - Traditional" sheetId="15" r:id="rId6"/>
    <sheet name="Pricing Data" sheetId="17" state="hidden" r:id="rId7"/>
    <sheet name="Graphics" sheetId="16" state="hidden" r:id="rId8"/>
    <sheet name="Comps" sheetId="4" state="hidden" r:id="rId9"/>
    <sheet name="Assumptions" sheetId="5" state="hidden" r:id="rId10"/>
  </sheets>
  <definedNames>
    <definedName name="Actual">(PeriodInActual*(#REF!&gt;0))*PeriodInPlan</definedName>
    <definedName name="ActualBeyond">PeriodInActual*(#REF!&gt;0)</definedName>
    <definedName name="modularhardcost">Inputs!$J$30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_xlnm.Print_Area" localSheetId="0">Summary!$A$5:$D$88</definedName>
    <definedName name="traditionalhardcost">Inputs!$Q$30</definedName>
  </definedNames>
  <calcPr calcId="191028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7" l="1"/>
  <c r="D29" i="17" s="1"/>
  <c r="D30" i="17"/>
  <c r="P19" i="1"/>
  <c r="I19" i="1"/>
  <c r="B18" i="17"/>
  <c r="D18" i="17" s="1"/>
  <c r="D6" i="17"/>
  <c r="D17" i="17"/>
  <c r="D16" i="17"/>
  <c r="D15" i="17"/>
  <c r="D14" i="17"/>
  <c r="D13" i="17"/>
  <c r="B23" i="17" s="1"/>
  <c r="D12" i="17"/>
  <c r="D10" i="17"/>
  <c r="D9" i="17"/>
  <c r="D5" i="17"/>
  <c r="L50" i="14"/>
  <c r="O50" i="14" s="1"/>
  <c r="H57" i="14"/>
  <c r="H56" i="14"/>
  <c r="H55" i="14"/>
  <c r="H53" i="14"/>
  <c r="H52" i="14"/>
  <c r="H51" i="14"/>
  <c r="M50" i="14"/>
  <c r="Q92" i="1"/>
  <c r="Q91" i="1"/>
  <c r="R41" i="1"/>
  <c r="D18" i="15"/>
  <c r="C18" i="15"/>
  <c r="D50" i="14"/>
  <c r="D48" i="14"/>
  <c r="E64" i="16" s="1"/>
  <c r="D31" i="14"/>
  <c r="D64" i="16" s="1"/>
  <c r="B8" i="14"/>
  <c r="D17" i="14"/>
  <c r="C26" i="14"/>
  <c r="B59" i="15"/>
  <c r="C59" i="15" s="1"/>
  <c r="B49" i="15"/>
  <c r="C14" i="15"/>
  <c r="C15" i="15" s="1"/>
  <c r="R89" i="1"/>
  <c r="R90" i="1" s="1"/>
  <c r="R93" i="1" s="1"/>
  <c r="Q88" i="1"/>
  <c r="Q89" i="1" s="1"/>
  <c r="C27" i="14" s="1"/>
  <c r="K89" i="1"/>
  <c r="D21" i="14" s="1"/>
  <c r="E21" i="14" s="1"/>
  <c r="K41" i="1"/>
  <c r="J16" i="1"/>
  <c r="D15" i="14" s="1"/>
  <c r="J15" i="1"/>
  <c r="D8" i="15"/>
  <c r="E8" i="15" s="1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E30" i="1"/>
  <c r="E31" i="1" s="1"/>
  <c r="E32" i="1" s="1"/>
  <c r="E41" i="1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B79" i="15"/>
  <c r="B76" i="15"/>
  <c r="D10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AU85" i="15"/>
  <c r="AT85" i="15"/>
  <c r="AS85" i="15"/>
  <c r="AR85" i="15"/>
  <c r="AQ85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7" i="15"/>
  <c r="D7" i="15" s="1"/>
  <c r="Q16" i="1"/>
  <c r="Q15" i="1"/>
  <c r="R23" i="1" s="1"/>
  <c r="B79" i="2"/>
  <c r="B76" i="2"/>
  <c r="D8" i="2"/>
  <c r="E8" i="2"/>
  <c r="F8" i="2" s="1"/>
  <c r="B49" i="2"/>
  <c r="BI15" i="2"/>
  <c r="BJ15" i="2"/>
  <c r="BK15" i="2"/>
  <c r="B59" i="2"/>
  <c r="C59" i="2" s="1"/>
  <c r="AQ15" i="2"/>
  <c r="AR15" i="2"/>
  <c r="AS15" i="2"/>
  <c r="AT15" i="2"/>
  <c r="AU15" i="2"/>
  <c r="AV15" i="2"/>
  <c r="AW15" i="2"/>
  <c r="AX15" i="2"/>
  <c r="AY15" i="2"/>
  <c r="J15" i="2"/>
  <c r="K15" i="2"/>
  <c r="L15" i="2"/>
  <c r="M15" i="2"/>
  <c r="N15" i="2"/>
  <c r="O15" i="2"/>
  <c r="P15" i="2"/>
  <c r="Q15" i="2"/>
  <c r="R15" i="2"/>
  <c r="E11" i="1"/>
  <c r="D10" i="2"/>
  <c r="C14" i="2"/>
  <c r="C15" i="2" s="1"/>
  <c r="C21" i="14"/>
  <c r="D33" i="14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J88" i="1"/>
  <c r="J89" i="1" s="1"/>
  <c r="Z9" i="4"/>
  <c r="AB9" i="4"/>
  <c r="U9" i="4"/>
  <c r="T9" i="4"/>
  <c r="S9" i="4"/>
  <c r="AA9" i="4"/>
  <c r="Y9" i="4"/>
  <c r="Q9" i="4"/>
  <c r="P9" i="4"/>
  <c r="O9" i="4"/>
  <c r="M9" i="4"/>
  <c r="L9" i="4"/>
  <c r="K9" i="4"/>
  <c r="H9" i="4"/>
  <c r="G9" i="4"/>
  <c r="I9" i="4"/>
  <c r="A4" i="4"/>
  <c r="A5" i="4"/>
  <c r="A6" i="4"/>
  <c r="A7" i="4"/>
  <c r="A8" i="4"/>
  <c r="D15" i="2"/>
  <c r="E15" i="2"/>
  <c r="F15" i="2"/>
  <c r="G15" i="2"/>
  <c r="H15" i="2"/>
  <c r="I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Z15" i="2"/>
  <c r="BA15" i="2"/>
  <c r="BB15" i="2"/>
  <c r="BC15" i="2"/>
  <c r="BD15" i="2"/>
  <c r="BE15" i="2"/>
  <c r="BF15" i="2"/>
  <c r="BG15" i="2"/>
  <c r="BH15" i="2"/>
  <c r="C7" i="2"/>
  <c r="C9" i="2" s="1"/>
  <c r="F8" i="15" l="1"/>
  <c r="E10" i="15"/>
  <c r="E18" i="15"/>
  <c r="G8" i="2"/>
  <c r="F10" i="2"/>
  <c r="E10" i="2"/>
  <c r="I50" i="14"/>
  <c r="J50" i="14"/>
  <c r="Q56" i="14" s="1"/>
  <c r="Q53" i="14"/>
  <c r="B22" i="17"/>
  <c r="D31" i="17"/>
  <c r="B21" i="17"/>
  <c r="D7" i="17"/>
  <c r="D11" i="17"/>
  <c r="B20" i="17" s="1"/>
  <c r="K50" i="14"/>
  <c r="N50" i="14"/>
  <c r="K23" i="1"/>
  <c r="K19" i="1"/>
  <c r="Q93" i="1"/>
  <c r="Q94" i="1" s="1"/>
  <c r="C28" i="14" s="1"/>
  <c r="R40" i="1"/>
  <c r="K20" i="1"/>
  <c r="K91" i="1"/>
  <c r="F64" i="16"/>
  <c r="D9" i="15"/>
  <c r="E7" i="15"/>
  <c r="F7" i="15" s="1"/>
  <c r="F9" i="15" s="1"/>
  <c r="C9" i="15"/>
  <c r="D65" i="14"/>
  <c r="E25" i="15"/>
  <c r="F25" i="15"/>
  <c r="D7" i="2"/>
  <c r="D9" i="2" s="1"/>
  <c r="E9" i="1"/>
  <c r="C20" i="15"/>
  <c r="D20" i="15"/>
  <c r="D27" i="14"/>
  <c r="E27" i="14" s="1"/>
  <c r="E20" i="15"/>
  <c r="D16" i="14"/>
  <c r="C25" i="15"/>
  <c r="F20" i="15"/>
  <c r="D26" i="14"/>
  <c r="E26" i="14" s="1"/>
  <c r="D25" i="15"/>
  <c r="J90" i="1"/>
  <c r="C22" i="14"/>
  <c r="E43" i="1"/>
  <c r="V8" i="1"/>
  <c r="R19" i="1"/>
  <c r="R21" i="1"/>
  <c r="R22" i="1"/>
  <c r="R29" i="1" s="1"/>
  <c r="Q14" i="1"/>
  <c r="R20" i="1"/>
  <c r="E35" i="1"/>
  <c r="E34" i="1"/>
  <c r="K90" i="1"/>
  <c r="K93" i="1" s="1"/>
  <c r="J14" i="1"/>
  <c r="J24" i="1" s="1"/>
  <c r="K21" i="1"/>
  <c r="Q90" i="1"/>
  <c r="R94" i="1"/>
  <c r="G7" i="15" l="1"/>
  <c r="H7" i="15" s="1"/>
  <c r="G8" i="15"/>
  <c r="F18" i="15"/>
  <c r="F10" i="15"/>
  <c r="H8" i="2"/>
  <c r="G10" i="2"/>
  <c r="J91" i="1"/>
  <c r="C23" i="14" s="1"/>
  <c r="K92" i="1"/>
  <c r="E9" i="15"/>
  <c r="R33" i="1"/>
  <c r="R38" i="1"/>
  <c r="Q24" i="1"/>
  <c r="R27" i="1"/>
  <c r="Q27" i="1" s="1"/>
  <c r="R26" i="1"/>
  <c r="Q26" i="1" s="1"/>
  <c r="J93" i="1"/>
  <c r="J94" i="1" s="1"/>
  <c r="C24" i="14" s="1"/>
  <c r="K40" i="1"/>
  <c r="E7" i="2"/>
  <c r="F7" i="2" s="1"/>
  <c r="J74" i="1"/>
  <c r="D14" i="14"/>
  <c r="E36" i="1"/>
  <c r="E48" i="1" s="1"/>
  <c r="H20" i="2"/>
  <c r="R39" i="1"/>
  <c r="Q74" i="1"/>
  <c r="K38" i="1"/>
  <c r="K39" i="1"/>
  <c r="E8" i="1"/>
  <c r="E10" i="1" s="1"/>
  <c r="R25" i="1"/>
  <c r="R28" i="1" s="1"/>
  <c r="Q29" i="1"/>
  <c r="K94" i="1"/>
  <c r="D20" i="2"/>
  <c r="E25" i="2"/>
  <c r="G25" i="2"/>
  <c r="D25" i="2"/>
  <c r="G20" i="2"/>
  <c r="F25" i="2"/>
  <c r="F20" i="2"/>
  <c r="H25" i="2"/>
  <c r="C20" i="2"/>
  <c r="E20" i="2"/>
  <c r="D22" i="14"/>
  <c r="E22" i="14" s="1"/>
  <c r="C25" i="2"/>
  <c r="R95" i="1"/>
  <c r="V9" i="1"/>
  <c r="W9" i="1" s="1"/>
  <c r="X9" i="1" s="1"/>
  <c r="Y9" i="1" s="1"/>
  <c r="Z9" i="1" s="1"/>
  <c r="AA9" i="1" s="1"/>
  <c r="AB9" i="1" s="1"/>
  <c r="AC9" i="1" s="1"/>
  <c r="AD9" i="1" s="1"/>
  <c r="AE9" i="1" s="1"/>
  <c r="E44" i="1"/>
  <c r="E9" i="2"/>
  <c r="E45" i="1"/>
  <c r="V10" i="1"/>
  <c r="W10" i="1" s="1"/>
  <c r="X10" i="1" s="1"/>
  <c r="Y10" i="1" s="1"/>
  <c r="Z10" i="1" s="1"/>
  <c r="AA10" i="1" s="1"/>
  <c r="AB10" i="1" s="1"/>
  <c r="AC10" i="1" s="1"/>
  <c r="AD10" i="1" s="1"/>
  <c r="AE10" i="1" s="1"/>
  <c r="W8" i="1"/>
  <c r="G9" i="15" l="1"/>
  <c r="G18" i="15"/>
  <c r="H8" i="15"/>
  <c r="G10" i="15"/>
  <c r="G20" i="15"/>
  <c r="G25" i="15"/>
  <c r="H10" i="2"/>
  <c r="I8" i="2"/>
  <c r="E52" i="1"/>
  <c r="E47" i="1"/>
  <c r="E50" i="1"/>
  <c r="E54" i="1"/>
  <c r="E53" i="1"/>
  <c r="E51" i="1"/>
  <c r="E49" i="1"/>
  <c r="E56" i="1"/>
  <c r="Q95" i="1"/>
  <c r="C64" i="15"/>
  <c r="J92" i="1"/>
  <c r="D18" i="2"/>
  <c r="D28" i="14"/>
  <c r="E28" i="14" s="1"/>
  <c r="G18" i="2"/>
  <c r="C19" i="15"/>
  <c r="F19" i="15"/>
  <c r="E64" i="15"/>
  <c r="G64" i="15"/>
  <c r="I18" i="2"/>
  <c r="E19" i="15"/>
  <c r="F64" i="15"/>
  <c r="H64" i="15"/>
  <c r="V14" i="1"/>
  <c r="W14" i="1" s="1"/>
  <c r="X14" i="1" s="1"/>
  <c r="Y14" i="1" s="1"/>
  <c r="Z14" i="1" s="1"/>
  <c r="AA14" i="1" s="1"/>
  <c r="AB14" i="1" s="1"/>
  <c r="AC14" i="1" s="1"/>
  <c r="AD14" i="1" s="1"/>
  <c r="AE14" i="1" s="1"/>
  <c r="C18" i="2"/>
  <c r="E18" i="2"/>
  <c r="F18" i="2"/>
  <c r="H18" i="2"/>
  <c r="Q25" i="1"/>
  <c r="Q28" i="1"/>
  <c r="D19" i="15"/>
  <c r="G7" i="2"/>
  <c r="F9" i="2"/>
  <c r="W11" i="1"/>
  <c r="X8" i="1"/>
  <c r="D64" i="15"/>
  <c r="V11" i="1"/>
  <c r="C65" i="15"/>
  <c r="I7" i="15"/>
  <c r="H9" i="15"/>
  <c r="R96" i="1"/>
  <c r="Q96" i="1" s="1"/>
  <c r="K95" i="1"/>
  <c r="D23" i="14"/>
  <c r="E23" i="14" s="1"/>
  <c r="G19" i="15"/>
  <c r="H18" i="15" l="1"/>
  <c r="H19" i="15" s="1"/>
  <c r="H10" i="15"/>
  <c r="I8" i="15"/>
  <c r="H20" i="15"/>
  <c r="H25" i="15"/>
  <c r="I10" i="2"/>
  <c r="J8" i="2"/>
  <c r="I20" i="2"/>
  <c r="I25" i="2"/>
  <c r="V15" i="1"/>
  <c r="W15" i="1" s="1"/>
  <c r="X15" i="1" s="1"/>
  <c r="Y15" i="1" s="1"/>
  <c r="Z15" i="1" s="1"/>
  <c r="AA15" i="1" s="1"/>
  <c r="AB15" i="1" s="1"/>
  <c r="AC15" i="1" s="1"/>
  <c r="AD15" i="1" s="1"/>
  <c r="AE15" i="1" s="1"/>
  <c r="C72" i="15"/>
  <c r="C31" i="15" s="1"/>
  <c r="C87" i="15" s="1"/>
  <c r="C99" i="15"/>
  <c r="B75" i="15"/>
  <c r="B101" i="15"/>
  <c r="B100" i="15"/>
  <c r="B48" i="15"/>
  <c r="B66" i="15"/>
  <c r="D65" i="15"/>
  <c r="Y8" i="1"/>
  <c r="X11" i="1"/>
  <c r="H7" i="2"/>
  <c r="G9" i="2"/>
  <c r="V16" i="1"/>
  <c r="W16" i="1"/>
  <c r="I9" i="15"/>
  <c r="J7" i="15"/>
  <c r="G64" i="2"/>
  <c r="K96" i="1"/>
  <c r="D64" i="2"/>
  <c r="C64" i="2"/>
  <c r="C65" i="2" s="1"/>
  <c r="I64" i="2"/>
  <c r="J95" i="1"/>
  <c r="D24" i="14"/>
  <c r="E24" i="14" s="1"/>
  <c r="E64" i="2"/>
  <c r="H64" i="2"/>
  <c r="F64" i="2"/>
  <c r="J64" i="2"/>
  <c r="I18" i="15" l="1"/>
  <c r="I19" i="15" s="1"/>
  <c r="I10" i="15"/>
  <c r="J8" i="15"/>
  <c r="I20" i="15"/>
  <c r="I25" i="15"/>
  <c r="I64" i="15"/>
  <c r="J10" i="2"/>
  <c r="K8" i="2"/>
  <c r="J20" i="2"/>
  <c r="J25" i="2"/>
  <c r="J18" i="2"/>
  <c r="D65" i="2"/>
  <c r="E65" i="2" s="1"/>
  <c r="F65" i="2" s="1"/>
  <c r="I7" i="2"/>
  <c r="H9" i="2"/>
  <c r="J100" i="15"/>
  <c r="F100" i="15"/>
  <c r="I100" i="15"/>
  <c r="H100" i="15"/>
  <c r="G100" i="15"/>
  <c r="C100" i="15"/>
  <c r="D100" i="15"/>
  <c r="E100" i="15"/>
  <c r="X16" i="1"/>
  <c r="I101" i="15"/>
  <c r="H101" i="15"/>
  <c r="E101" i="15"/>
  <c r="D101" i="15"/>
  <c r="G101" i="15"/>
  <c r="F101" i="15"/>
  <c r="C101" i="15"/>
  <c r="J101" i="15"/>
  <c r="C78" i="15"/>
  <c r="C79" i="15" s="1"/>
  <c r="C80" i="15" s="1"/>
  <c r="C98" i="15" s="1"/>
  <c r="D78" i="15"/>
  <c r="E78" i="15"/>
  <c r="J78" i="15"/>
  <c r="G78" i="15"/>
  <c r="G79" i="15" s="1"/>
  <c r="G80" i="15" s="1"/>
  <c r="G98" i="15" s="1"/>
  <c r="F78" i="15"/>
  <c r="F79" i="15" s="1"/>
  <c r="F80" i="15" s="1"/>
  <c r="F98" i="15" s="1"/>
  <c r="I78" i="15"/>
  <c r="I79" i="15" s="1"/>
  <c r="I80" i="15" s="1"/>
  <c r="I98" i="15" s="1"/>
  <c r="H78" i="15"/>
  <c r="H79" i="15" s="1"/>
  <c r="H80" i="15" s="1"/>
  <c r="H98" i="15" s="1"/>
  <c r="B48" i="2"/>
  <c r="B66" i="2"/>
  <c r="B75" i="2"/>
  <c r="J96" i="1"/>
  <c r="B100" i="2"/>
  <c r="B101" i="2"/>
  <c r="E65" i="15"/>
  <c r="D99" i="15"/>
  <c r="D72" i="15"/>
  <c r="D31" i="15" s="1"/>
  <c r="D87" i="15" s="1"/>
  <c r="C99" i="2"/>
  <c r="C72" i="2"/>
  <c r="C31" i="2" s="1"/>
  <c r="C87" i="2" s="1"/>
  <c r="C68" i="15"/>
  <c r="D68" i="15"/>
  <c r="Y11" i="1"/>
  <c r="Z8" i="1"/>
  <c r="K7" i="15"/>
  <c r="J9" i="15"/>
  <c r="J10" i="15" l="1"/>
  <c r="K8" i="15"/>
  <c r="J18" i="15"/>
  <c r="J19" i="15" s="1"/>
  <c r="J25" i="15"/>
  <c r="J20" i="15"/>
  <c r="J64" i="15"/>
  <c r="K10" i="2"/>
  <c r="L8" i="2"/>
  <c r="K20" i="2"/>
  <c r="K25" i="2"/>
  <c r="K18" i="2"/>
  <c r="K64" i="2"/>
  <c r="D99" i="2"/>
  <c r="D72" i="2"/>
  <c r="D31" i="2" s="1"/>
  <c r="D87" i="2" s="1"/>
  <c r="I101" i="2"/>
  <c r="G101" i="2"/>
  <c r="K101" i="2"/>
  <c r="E101" i="2"/>
  <c r="J101" i="2"/>
  <c r="L101" i="2"/>
  <c r="D101" i="2"/>
  <c r="H101" i="2"/>
  <c r="F101" i="2"/>
  <c r="C101" i="2"/>
  <c r="Y16" i="1"/>
  <c r="D79" i="15"/>
  <c r="D80" i="15" s="1"/>
  <c r="D98" i="15" s="1"/>
  <c r="G65" i="2"/>
  <c r="F99" i="2"/>
  <c r="F72" i="2"/>
  <c r="F31" i="2" s="1"/>
  <c r="F87" i="2" s="1"/>
  <c r="E72" i="2"/>
  <c r="E31" i="2" s="1"/>
  <c r="E87" i="2" s="1"/>
  <c r="E99" i="2"/>
  <c r="E79" i="15"/>
  <c r="E80" i="15" s="1"/>
  <c r="E98" i="15" s="1"/>
  <c r="F100" i="2"/>
  <c r="K100" i="2"/>
  <c r="L100" i="2"/>
  <c r="H100" i="2"/>
  <c r="J100" i="2"/>
  <c r="C100" i="2"/>
  <c r="I100" i="2"/>
  <c r="E100" i="2"/>
  <c r="G100" i="2"/>
  <c r="D100" i="2"/>
  <c r="F65" i="15"/>
  <c r="E99" i="15"/>
  <c r="E72" i="15"/>
  <c r="E31" i="15" s="1"/>
  <c r="E87" i="15" s="1"/>
  <c r="J79" i="15"/>
  <c r="J80" i="15" s="1"/>
  <c r="J98" i="15" s="1"/>
  <c r="L7" i="15"/>
  <c r="K9" i="15"/>
  <c r="E68" i="15"/>
  <c r="E78" i="2"/>
  <c r="C78" i="2"/>
  <c r="C79" i="2" s="1"/>
  <c r="C80" i="2" s="1"/>
  <c r="C98" i="2" s="1"/>
  <c r="I78" i="2"/>
  <c r="G78" i="2"/>
  <c r="H78" i="2"/>
  <c r="F78" i="2"/>
  <c r="D78" i="2"/>
  <c r="D79" i="2" s="1"/>
  <c r="D80" i="2" s="1"/>
  <c r="D98" i="2" s="1"/>
  <c r="L78" i="2"/>
  <c r="L79" i="2" s="1"/>
  <c r="L80" i="2" s="1"/>
  <c r="L98" i="2" s="1"/>
  <c r="J78" i="2"/>
  <c r="K78" i="2"/>
  <c r="K79" i="2" s="1"/>
  <c r="K80" i="2" s="1"/>
  <c r="K98" i="2" s="1"/>
  <c r="Z11" i="1"/>
  <c r="AA8" i="1"/>
  <c r="C68" i="2"/>
  <c r="E68" i="2"/>
  <c r="D68" i="2"/>
  <c r="F68" i="2"/>
  <c r="I9" i="2"/>
  <c r="J7" i="2"/>
  <c r="K18" i="15" l="1"/>
  <c r="K19" i="15" s="1"/>
  <c r="L8" i="15"/>
  <c r="K10" i="15"/>
  <c r="K20" i="15"/>
  <c r="K25" i="15"/>
  <c r="K64" i="15"/>
  <c r="K78" i="15"/>
  <c r="K79" i="15" s="1"/>
  <c r="K80" i="15" s="1"/>
  <c r="K98" i="15" s="1"/>
  <c r="K101" i="15"/>
  <c r="K100" i="15"/>
  <c r="L10" i="2"/>
  <c r="M8" i="2"/>
  <c r="L25" i="2"/>
  <c r="L20" i="2"/>
  <c r="L18" i="2"/>
  <c r="L64" i="2"/>
  <c r="J79" i="2"/>
  <c r="J80" i="2" s="1"/>
  <c r="J98" i="2" s="1"/>
  <c r="H79" i="2"/>
  <c r="H80" i="2" s="1"/>
  <c r="H98" i="2" s="1"/>
  <c r="L9" i="15"/>
  <c r="M7" i="15"/>
  <c r="I79" i="2"/>
  <c r="I80" i="2" s="1"/>
  <c r="I98" i="2" s="1"/>
  <c r="J9" i="2"/>
  <c r="K7" i="2"/>
  <c r="G79" i="2"/>
  <c r="G80" i="2" s="1"/>
  <c r="G98" i="2" s="1"/>
  <c r="F68" i="15"/>
  <c r="G65" i="15"/>
  <c r="F99" i="15"/>
  <c r="F72" i="15"/>
  <c r="F31" i="15" s="1"/>
  <c r="F87" i="15" s="1"/>
  <c r="E79" i="2"/>
  <c r="E80" i="2" s="1"/>
  <c r="E98" i="2" s="1"/>
  <c r="AA11" i="1"/>
  <c r="AB8" i="1"/>
  <c r="F79" i="2"/>
  <c r="F80" i="2" s="1"/>
  <c r="F98" i="2" s="1"/>
  <c r="Z16" i="1"/>
  <c r="H65" i="2"/>
  <c r="G72" i="2"/>
  <c r="G31" i="2" s="1"/>
  <c r="G87" i="2" s="1"/>
  <c r="G68" i="2"/>
  <c r="G99" i="2"/>
  <c r="L18" i="15" l="1"/>
  <c r="L19" i="15" s="1"/>
  <c r="L10" i="15"/>
  <c r="M8" i="15"/>
  <c r="L20" i="15"/>
  <c r="L25" i="15"/>
  <c r="L64" i="15"/>
  <c r="L100" i="15"/>
  <c r="L78" i="15"/>
  <c r="L79" i="15" s="1"/>
  <c r="L80" i="15" s="1"/>
  <c r="L98" i="15" s="1"/>
  <c r="L101" i="15"/>
  <c r="N8" i="2"/>
  <c r="M10" i="2"/>
  <c r="M25" i="2"/>
  <c r="M20" i="2"/>
  <c r="M18" i="2"/>
  <c r="M64" i="2"/>
  <c r="M78" i="2"/>
  <c r="M79" i="2" s="1"/>
  <c r="M80" i="2" s="1"/>
  <c r="M98" i="2" s="1"/>
  <c r="M100" i="2"/>
  <c r="M101" i="2"/>
  <c r="AC8" i="1"/>
  <c r="AB11" i="1"/>
  <c r="AA16" i="1"/>
  <c r="N7" i="15"/>
  <c r="M9" i="15"/>
  <c r="H65" i="15"/>
  <c r="G72" i="15"/>
  <c r="G31" i="15" s="1"/>
  <c r="G87" i="15" s="1"/>
  <c r="G68" i="15"/>
  <c r="G99" i="15"/>
  <c r="H72" i="2"/>
  <c r="H31" i="2" s="1"/>
  <c r="H87" i="2" s="1"/>
  <c r="H99" i="2"/>
  <c r="I65" i="2"/>
  <c r="H68" i="2"/>
  <c r="L7" i="2"/>
  <c r="K9" i="2"/>
  <c r="N8" i="15" l="1"/>
  <c r="M18" i="15"/>
  <c r="M19" i="15" s="1"/>
  <c r="M10" i="15"/>
  <c r="M25" i="15"/>
  <c r="M20" i="15"/>
  <c r="M64" i="15"/>
  <c r="M101" i="15"/>
  <c r="M100" i="15"/>
  <c r="M78" i="15"/>
  <c r="M79" i="15" s="1"/>
  <c r="M80" i="15" s="1"/>
  <c r="M98" i="15" s="1"/>
  <c r="O8" i="2"/>
  <c r="N10" i="2"/>
  <c r="N25" i="2"/>
  <c r="N20" i="2"/>
  <c r="N18" i="2"/>
  <c r="N64" i="2"/>
  <c r="N101" i="2"/>
  <c r="N100" i="2"/>
  <c r="N78" i="2"/>
  <c r="N79" i="2" s="1"/>
  <c r="N80" i="2" s="1"/>
  <c r="N98" i="2" s="1"/>
  <c r="M7" i="2"/>
  <c r="L9" i="2"/>
  <c r="AB16" i="1"/>
  <c r="J65" i="2"/>
  <c r="I68" i="2"/>
  <c r="I72" i="2"/>
  <c r="I31" i="2" s="1"/>
  <c r="I87" i="2" s="1"/>
  <c r="I99" i="2"/>
  <c r="H99" i="15"/>
  <c r="H68" i="15"/>
  <c r="H72" i="15"/>
  <c r="H31" i="15" s="1"/>
  <c r="H87" i="15" s="1"/>
  <c r="I65" i="15"/>
  <c r="AD8" i="1"/>
  <c r="AC11" i="1"/>
  <c r="N9" i="15"/>
  <c r="O7" i="15"/>
  <c r="O8" i="15" l="1"/>
  <c r="N18" i="15"/>
  <c r="N19" i="15" s="1"/>
  <c r="N10" i="15"/>
  <c r="N20" i="15"/>
  <c r="N25" i="15"/>
  <c r="N64" i="15"/>
  <c r="N78" i="15"/>
  <c r="N79" i="15" s="1"/>
  <c r="N80" i="15" s="1"/>
  <c r="N98" i="15" s="1"/>
  <c r="N100" i="15"/>
  <c r="N101" i="15"/>
  <c r="P8" i="2"/>
  <c r="O10" i="2"/>
  <c r="O25" i="2"/>
  <c r="O20" i="2"/>
  <c r="O18" i="2"/>
  <c r="O64" i="2"/>
  <c r="O100" i="2"/>
  <c r="O101" i="2"/>
  <c r="O78" i="2"/>
  <c r="O79" i="2" s="1"/>
  <c r="O80" i="2" s="1"/>
  <c r="O98" i="2" s="1"/>
  <c r="P7" i="15"/>
  <c r="O9" i="15"/>
  <c r="I72" i="15"/>
  <c r="I31" i="15" s="1"/>
  <c r="I87" i="15" s="1"/>
  <c r="J65" i="15"/>
  <c r="I99" i="15"/>
  <c r="I68" i="15"/>
  <c r="AC16" i="1"/>
  <c r="AE8" i="1"/>
  <c r="AE11" i="1" s="1"/>
  <c r="AD11" i="1"/>
  <c r="K65" i="2"/>
  <c r="J68" i="2"/>
  <c r="J72" i="2"/>
  <c r="J31" i="2" s="1"/>
  <c r="J87" i="2" s="1"/>
  <c r="J99" i="2"/>
  <c r="M9" i="2"/>
  <c r="N7" i="2"/>
  <c r="O18" i="15" l="1"/>
  <c r="O19" i="15" s="1"/>
  <c r="P8" i="15"/>
  <c r="O10" i="15"/>
  <c r="O20" i="15"/>
  <c r="O25" i="15"/>
  <c r="O64" i="15"/>
  <c r="O100" i="15"/>
  <c r="O78" i="15"/>
  <c r="O79" i="15" s="1"/>
  <c r="O80" i="15" s="1"/>
  <c r="O98" i="15" s="1"/>
  <c r="O101" i="15"/>
  <c r="P10" i="2"/>
  <c r="Q8" i="2"/>
  <c r="P25" i="2"/>
  <c r="P20" i="2"/>
  <c r="P18" i="2"/>
  <c r="P64" i="2"/>
  <c r="P101" i="2"/>
  <c r="P78" i="2"/>
  <c r="P79" i="2" s="1"/>
  <c r="P80" i="2" s="1"/>
  <c r="P98" i="2" s="1"/>
  <c r="P100" i="2"/>
  <c r="AD16" i="1"/>
  <c r="AE16" i="1"/>
  <c r="Q7" i="15"/>
  <c r="P9" i="15"/>
  <c r="J99" i="15"/>
  <c r="J72" i="15"/>
  <c r="J31" i="15" s="1"/>
  <c r="J87" i="15" s="1"/>
  <c r="J68" i="15"/>
  <c r="K65" i="15"/>
  <c r="O7" i="2"/>
  <c r="N9" i="2"/>
  <c r="L65" i="2"/>
  <c r="K72" i="2"/>
  <c r="K31" i="2" s="1"/>
  <c r="K87" i="2" s="1"/>
  <c r="K99" i="2"/>
  <c r="K68" i="2"/>
  <c r="P18" i="15" l="1"/>
  <c r="P19" i="15" s="1"/>
  <c r="P10" i="15"/>
  <c r="Q8" i="15"/>
  <c r="P20" i="15"/>
  <c r="P25" i="15"/>
  <c r="P64" i="15"/>
  <c r="P101" i="15"/>
  <c r="P78" i="15"/>
  <c r="P79" i="15" s="1"/>
  <c r="P80" i="15" s="1"/>
  <c r="P98" i="15" s="1"/>
  <c r="P100" i="15"/>
  <c r="Q10" i="2"/>
  <c r="R8" i="2"/>
  <c r="Q25" i="2"/>
  <c r="Q20" i="2"/>
  <c r="Q18" i="2"/>
  <c r="Q64" i="2"/>
  <c r="Q100" i="2"/>
  <c r="Q101" i="2"/>
  <c r="Q78" i="2"/>
  <c r="Q79" i="2" s="1"/>
  <c r="Q80" i="2" s="1"/>
  <c r="Q98" i="2" s="1"/>
  <c r="K72" i="15"/>
  <c r="K31" i="15" s="1"/>
  <c r="K87" i="15" s="1"/>
  <c r="K99" i="15"/>
  <c r="K68" i="15"/>
  <c r="L65" i="15"/>
  <c r="L68" i="2"/>
  <c r="M65" i="2"/>
  <c r="L99" i="2"/>
  <c r="L72" i="2"/>
  <c r="L31" i="2" s="1"/>
  <c r="L87" i="2" s="1"/>
  <c r="Q9" i="15"/>
  <c r="R7" i="15"/>
  <c r="P7" i="2"/>
  <c r="O9" i="2"/>
  <c r="Q18" i="15" l="1"/>
  <c r="Q19" i="15" s="1"/>
  <c r="Q10" i="15"/>
  <c r="R8" i="15"/>
  <c r="Q20" i="15"/>
  <c r="Q25" i="15"/>
  <c r="Q64" i="15"/>
  <c r="Q100" i="15"/>
  <c r="Q78" i="15"/>
  <c r="Q79" i="15" s="1"/>
  <c r="Q80" i="15" s="1"/>
  <c r="Q98" i="15" s="1"/>
  <c r="Q101" i="15"/>
  <c r="R10" i="2"/>
  <c r="S8" i="2"/>
  <c r="R25" i="2"/>
  <c r="R20" i="2"/>
  <c r="R18" i="2"/>
  <c r="R64" i="2"/>
  <c r="R78" i="2"/>
  <c r="R79" i="2" s="1"/>
  <c r="R80" i="2" s="1"/>
  <c r="R98" i="2" s="1"/>
  <c r="R101" i="2"/>
  <c r="R100" i="2"/>
  <c r="Q7" i="2"/>
  <c r="P9" i="2"/>
  <c r="L99" i="15"/>
  <c r="M65" i="15"/>
  <c r="L68" i="15"/>
  <c r="L72" i="15"/>
  <c r="L31" i="15" s="1"/>
  <c r="L87" i="15" s="1"/>
  <c r="M72" i="2"/>
  <c r="M31" i="2" s="1"/>
  <c r="M87" i="2" s="1"/>
  <c r="M68" i="2"/>
  <c r="M99" i="2"/>
  <c r="N65" i="2"/>
  <c r="S7" i="15"/>
  <c r="R9" i="15"/>
  <c r="R10" i="15" l="1"/>
  <c r="S8" i="15"/>
  <c r="R18" i="15"/>
  <c r="R19" i="15" s="1"/>
  <c r="R25" i="15"/>
  <c r="R20" i="15"/>
  <c r="R64" i="15"/>
  <c r="R100" i="15"/>
  <c r="R78" i="15"/>
  <c r="R79" i="15" s="1"/>
  <c r="R80" i="15" s="1"/>
  <c r="R98" i="15" s="1"/>
  <c r="R101" i="15"/>
  <c r="T8" i="2"/>
  <c r="S10" i="2"/>
  <c r="S20" i="2"/>
  <c r="S25" i="2"/>
  <c r="S18" i="2"/>
  <c r="S64" i="2"/>
  <c r="S100" i="2"/>
  <c r="S101" i="2"/>
  <c r="S78" i="2"/>
  <c r="S79" i="2" s="1"/>
  <c r="S80" i="2" s="1"/>
  <c r="S98" i="2" s="1"/>
  <c r="R7" i="2"/>
  <c r="Q9" i="2"/>
  <c r="T7" i="15"/>
  <c r="S9" i="15"/>
  <c r="M68" i="15"/>
  <c r="M99" i="15"/>
  <c r="M72" i="15"/>
  <c r="M31" i="15" s="1"/>
  <c r="M87" i="15" s="1"/>
  <c r="N65" i="15"/>
  <c r="N72" i="2"/>
  <c r="N31" i="2" s="1"/>
  <c r="N87" i="2" s="1"/>
  <c r="N99" i="2"/>
  <c r="O65" i="2"/>
  <c r="N68" i="2"/>
  <c r="S18" i="15" l="1"/>
  <c r="S19" i="15" s="1"/>
  <c r="T8" i="15"/>
  <c r="S10" i="15"/>
  <c r="S20" i="15"/>
  <c r="S25" i="15"/>
  <c r="S64" i="15"/>
  <c r="S101" i="15"/>
  <c r="S78" i="15"/>
  <c r="S79" i="15" s="1"/>
  <c r="S80" i="15" s="1"/>
  <c r="S98" i="15" s="1"/>
  <c r="S100" i="15"/>
  <c r="U8" i="2"/>
  <c r="T10" i="2"/>
  <c r="T25" i="2"/>
  <c r="T20" i="2"/>
  <c r="T18" i="2"/>
  <c r="T64" i="2"/>
  <c r="T100" i="2"/>
  <c r="T78" i="2"/>
  <c r="T79" i="2" s="1"/>
  <c r="T80" i="2" s="1"/>
  <c r="T98" i="2" s="1"/>
  <c r="T101" i="2"/>
  <c r="T9" i="15"/>
  <c r="U7" i="15"/>
  <c r="O99" i="2"/>
  <c r="P65" i="2"/>
  <c r="O68" i="2"/>
  <c r="O72" i="2"/>
  <c r="O31" i="2" s="1"/>
  <c r="O87" i="2" s="1"/>
  <c r="N68" i="15"/>
  <c r="N72" i="15"/>
  <c r="N31" i="15" s="1"/>
  <c r="N87" i="15" s="1"/>
  <c r="O65" i="15"/>
  <c r="N99" i="15"/>
  <c r="S7" i="2"/>
  <c r="R9" i="2"/>
  <c r="T18" i="15" l="1"/>
  <c r="T19" i="15" s="1"/>
  <c r="T10" i="15"/>
  <c r="U8" i="15"/>
  <c r="T20" i="15"/>
  <c r="T25" i="15"/>
  <c r="T64" i="15"/>
  <c r="T100" i="15"/>
  <c r="T101" i="15"/>
  <c r="T78" i="15"/>
  <c r="T79" i="15" s="1"/>
  <c r="T80" i="15" s="1"/>
  <c r="T98" i="15" s="1"/>
  <c r="V8" i="2"/>
  <c r="U10" i="2"/>
  <c r="U20" i="2"/>
  <c r="U25" i="2"/>
  <c r="U18" i="2"/>
  <c r="U64" i="2"/>
  <c r="U78" i="2"/>
  <c r="U79" i="2" s="1"/>
  <c r="U80" i="2" s="1"/>
  <c r="U98" i="2" s="1"/>
  <c r="U101" i="2"/>
  <c r="U100" i="2"/>
  <c r="T7" i="2"/>
  <c r="S9" i="2"/>
  <c r="P99" i="2"/>
  <c r="P68" i="2"/>
  <c r="P72" i="2"/>
  <c r="P31" i="2" s="1"/>
  <c r="P87" i="2" s="1"/>
  <c r="Q65" i="2"/>
  <c r="O68" i="15"/>
  <c r="O99" i="15"/>
  <c r="O72" i="15"/>
  <c r="O31" i="15" s="1"/>
  <c r="O87" i="15" s="1"/>
  <c r="P65" i="15"/>
  <c r="V7" i="15"/>
  <c r="U9" i="15"/>
  <c r="V8" i="15" l="1"/>
  <c r="U10" i="15"/>
  <c r="U18" i="15"/>
  <c r="U19" i="15" s="1"/>
  <c r="U20" i="15"/>
  <c r="U25" i="15"/>
  <c r="U64" i="15"/>
  <c r="U101" i="15"/>
  <c r="U100" i="15"/>
  <c r="U78" i="15"/>
  <c r="U79" i="15" s="1"/>
  <c r="U80" i="15" s="1"/>
  <c r="U98" i="15" s="1"/>
  <c r="W8" i="2"/>
  <c r="V10" i="2"/>
  <c r="V25" i="2"/>
  <c r="V20" i="2"/>
  <c r="V18" i="2"/>
  <c r="V64" i="2"/>
  <c r="V101" i="2"/>
  <c r="V78" i="2"/>
  <c r="V79" i="2" s="1"/>
  <c r="V80" i="2" s="1"/>
  <c r="V98" i="2" s="1"/>
  <c r="V100" i="2"/>
  <c r="Q72" i="2"/>
  <c r="Q31" i="2" s="1"/>
  <c r="Q87" i="2" s="1"/>
  <c r="Q99" i="2"/>
  <c r="R65" i="2"/>
  <c r="Q68" i="2"/>
  <c r="V9" i="15"/>
  <c r="W7" i="15"/>
  <c r="P68" i="15"/>
  <c r="Q65" i="15"/>
  <c r="P72" i="15"/>
  <c r="P31" i="15" s="1"/>
  <c r="P87" i="15" s="1"/>
  <c r="P99" i="15"/>
  <c r="U7" i="2"/>
  <c r="T9" i="2"/>
  <c r="W8" i="15" l="1"/>
  <c r="V18" i="15"/>
  <c r="V19" i="15" s="1"/>
  <c r="V10" i="15"/>
  <c r="V25" i="15"/>
  <c r="V20" i="15"/>
  <c r="V64" i="15"/>
  <c r="V78" i="15"/>
  <c r="V79" i="15" s="1"/>
  <c r="V80" i="15" s="1"/>
  <c r="V98" i="15" s="1"/>
  <c r="V100" i="15"/>
  <c r="V101" i="15"/>
  <c r="X8" i="2"/>
  <c r="W10" i="2"/>
  <c r="W20" i="2"/>
  <c r="W25" i="2"/>
  <c r="W18" i="2"/>
  <c r="W64" i="2"/>
  <c r="W101" i="2"/>
  <c r="W78" i="2"/>
  <c r="W79" i="2" s="1"/>
  <c r="W80" i="2" s="1"/>
  <c r="W98" i="2" s="1"/>
  <c r="W100" i="2"/>
  <c r="X7" i="15"/>
  <c r="W9" i="15"/>
  <c r="V7" i="2"/>
  <c r="U9" i="2"/>
  <c r="Q68" i="15"/>
  <c r="Q72" i="15"/>
  <c r="Q31" i="15" s="1"/>
  <c r="Q87" i="15" s="1"/>
  <c r="R65" i="15"/>
  <c r="Q99" i="15"/>
  <c r="R99" i="2"/>
  <c r="R68" i="2"/>
  <c r="S65" i="2"/>
  <c r="R72" i="2"/>
  <c r="R31" i="2" s="1"/>
  <c r="R87" i="2" s="1"/>
  <c r="W18" i="15" l="1"/>
  <c r="W19" i="15" s="1"/>
  <c r="X8" i="15"/>
  <c r="W10" i="15"/>
  <c r="W25" i="15"/>
  <c r="W20" i="15"/>
  <c r="W64" i="15"/>
  <c r="W100" i="15"/>
  <c r="W101" i="15"/>
  <c r="W78" i="15"/>
  <c r="W79" i="15" s="1"/>
  <c r="W80" i="15" s="1"/>
  <c r="W98" i="15" s="1"/>
  <c r="X10" i="2"/>
  <c r="Y8" i="2"/>
  <c r="X20" i="2"/>
  <c r="X25" i="2"/>
  <c r="X18" i="2"/>
  <c r="X64" i="2"/>
  <c r="X100" i="2"/>
  <c r="X78" i="2"/>
  <c r="X79" i="2" s="1"/>
  <c r="X80" i="2" s="1"/>
  <c r="X98" i="2" s="1"/>
  <c r="X101" i="2"/>
  <c r="S68" i="2"/>
  <c r="T65" i="2"/>
  <c r="S99" i="2"/>
  <c r="S72" i="2"/>
  <c r="S31" i="2" s="1"/>
  <c r="S87" i="2" s="1"/>
  <c r="R99" i="15"/>
  <c r="R72" i="15"/>
  <c r="R31" i="15" s="1"/>
  <c r="R87" i="15" s="1"/>
  <c r="S65" i="15"/>
  <c r="R68" i="15"/>
  <c r="W7" i="2"/>
  <c r="V9" i="2"/>
  <c r="Y7" i="15"/>
  <c r="X9" i="15"/>
  <c r="X18" i="15" l="1"/>
  <c r="X19" i="15" s="1"/>
  <c r="X10" i="15"/>
  <c r="Y8" i="15"/>
  <c r="X20" i="15"/>
  <c r="X25" i="15"/>
  <c r="X64" i="15"/>
  <c r="X78" i="15"/>
  <c r="X79" i="15" s="1"/>
  <c r="X80" i="15" s="1"/>
  <c r="X98" i="15" s="1"/>
  <c r="X100" i="15"/>
  <c r="X101" i="15"/>
  <c r="Y10" i="2"/>
  <c r="Z8" i="2"/>
  <c r="Y20" i="2"/>
  <c r="Y25" i="2"/>
  <c r="Y18" i="2"/>
  <c r="Y64" i="2"/>
  <c r="Y100" i="2"/>
  <c r="Y101" i="2"/>
  <c r="Y78" i="2"/>
  <c r="Y79" i="2" s="1"/>
  <c r="Y80" i="2" s="1"/>
  <c r="Y98" i="2" s="1"/>
  <c r="X7" i="2"/>
  <c r="W9" i="2"/>
  <c r="U65" i="2"/>
  <c r="T99" i="2"/>
  <c r="T68" i="2"/>
  <c r="T65" i="15"/>
  <c r="S99" i="15"/>
  <c r="S68" i="15"/>
  <c r="S72" i="15"/>
  <c r="S31" i="15" s="1"/>
  <c r="S87" i="15" s="1"/>
  <c r="Y9" i="15"/>
  <c r="Z7" i="15"/>
  <c r="Y18" i="15" l="1"/>
  <c r="Y19" i="15" s="1"/>
  <c r="Y10" i="15"/>
  <c r="Z8" i="15"/>
  <c r="Y20" i="15"/>
  <c r="Y25" i="15"/>
  <c r="Y64" i="15"/>
  <c r="Y100" i="15"/>
  <c r="Y101" i="15"/>
  <c r="Y78" i="15"/>
  <c r="Y79" i="15" s="1"/>
  <c r="Y80" i="15" s="1"/>
  <c r="Y98" i="15" s="1"/>
  <c r="Z10" i="2"/>
  <c r="AA8" i="2"/>
  <c r="Z25" i="2"/>
  <c r="Z20" i="2"/>
  <c r="Z18" i="2"/>
  <c r="Z64" i="2"/>
  <c r="Z100" i="2"/>
  <c r="Z78" i="2"/>
  <c r="Z79" i="2" s="1"/>
  <c r="Z80" i="2" s="1"/>
  <c r="Z98" i="2" s="1"/>
  <c r="Z101" i="2"/>
  <c r="AA7" i="15"/>
  <c r="Z9" i="15"/>
  <c r="V65" i="2"/>
  <c r="U99" i="2"/>
  <c r="U68" i="2"/>
  <c r="T99" i="15"/>
  <c r="T68" i="15"/>
  <c r="U65" i="15"/>
  <c r="Y7" i="2"/>
  <c r="X9" i="2"/>
  <c r="Z10" i="15" l="1"/>
  <c r="AA8" i="15"/>
  <c r="Z18" i="15"/>
  <c r="Z19" i="15" s="1"/>
  <c r="Z20" i="15"/>
  <c r="Z25" i="15"/>
  <c r="Z64" i="15"/>
  <c r="Z100" i="15"/>
  <c r="Z78" i="15"/>
  <c r="Z79" i="15" s="1"/>
  <c r="Z80" i="15" s="1"/>
  <c r="Z98" i="15" s="1"/>
  <c r="Z101" i="15"/>
  <c r="AA10" i="2"/>
  <c r="AB8" i="2"/>
  <c r="AA25" i="2"/>
  <c r="AA20" i="2"/>
  <c r="AA18" i="2"/>
  <c r="AA64" i="2"/>
  <c r="AA101" i="2"/>
  <c r="AA78" i="2"/>
  <c r="AA79" i="2" s="1"/>
  <c r="AA80" i="2" s="1"/>
  <c r="AA98" i="2" s="1"/>
  <c r="AA100" i="2"/>
  <c r="AB7" i="15"/>
  <c r="AA9" i="15"/>
  <c r="Z7" i="2"/>
  <c r="Y9" i="2"/>
  <c r="V68" i="2"/>
  <c r="V99" i="2"/>
  <c r="W65" i="2"/>
  <c r="V65" i="15"/>
  <c r="U99" i="15"/>
  <c r="U68" i="15"/>
  <c r="AA18" i="15" l="1"/>
  <c r="AA19" i="15" s="1"/>
  <c r="AB8" i="15"/>
  <c r="AA10" i="15"/>
  <c r="AA20" i="15"/>
  <c r="AA25" i="15"/>
  <c r="AA64" i="15"/>
  <c r="AA78" i="15"/>
  <c r="AA79" i="15" s="1"/>
  <c r="AA80" i="15" s="1"/>
  <c r="AA98" i="15" s="1"/>
  <c r="AA101" i="15"/>
  <c r="AA100" i="15"/>
  <c r="AB10" i="2"/>
  <c r="AC8" i="2"/>
  <c r="AB20" i="2"/>
  <c r="AB25" i="2"/>
  <c r="AB18" i="2"/>
  <c r="AB64" i="2"/>
  <c r="AB101" i="2"/>
  <c r="AB100" i="2"/>
  <c r="AB78" i="2"/>
  <c r="AB79" i="2" s="1"/>
  <c r="AB80" i="2" s="1"/>
  <c r="AB98" i="2" s="1"/>
  <c r="AA7" i="2"/>
  <c r="Z9" i="2"/>
  <c r="V68" i="15"/>
  <c r="V99" i="15"/>
  <c r="W65" i="15"/>
  <c r="W99" i="2"/>
  <c r="W68" i="2"/>
  <c r="X65" i="2"/>
  <c r="AB9" i="15"/>
  <c r="AC7" i="15"/>
  <c r="AB10" i="15" l="1"/>
  <c r="AB18" i="15"/>
  <c r="AB19" i="15" s="1"/>
  <c r="AC8" i="15"/>
  <c r="AB20" i="15"/>
  <c r="AB25" i="15"/>
  <c r="AB64" i="15"/>
  <c r="AB100" i="15"/>
  <c r="AB101" i="15"/>
  <c r="AB78" i="15"/>
  <c r="AB79" i="15" s="1"/>
  <c r="AB80" i="15" s="1"/>
  <c r="AB98" i="15" s="1"/>
  <c r="AD8" i="2"/>
  <c r="AC10" i="2"/>
  <c r="AC20" i="2"/>
  <c r="AC25" i="2"/>
  <c r="AC18" i="2"/>
  <c r="AC64" i="2"/>
  <c r="AC78" i="2"/>
  <c r="AC79" i="2" s="1"/>
  <c r="AC80" i="2" s="1"/>
  <c r="AC98" i="2" s="1"/>
  <c r="AC101" i="2"/>
  <c r="AC100" i="2"/>
  <c r="AB7" i="2"/>
  <c r="AA9" i="2"/>
  <c r="W99" i="15"/>
  <c r="X65" i="15"/>
  <c r="W68" i="15"/>
  <c r="AD7" i="15"/>
  <c r="AC9" i="15"/>
  <c r="Y65" i="2"/>
  <c r="X68" i="2"/>
  <c r="X99" i="2"/>
  <c r="AD8" i="15" l="1"/>
  <c r="AC10" i="15"/>
  <c r="AC18" i="15"/>
  <c r="AC19" i="15" s="1"/>
  <c r="AC25" i="15"/>
  <c r="AC20" i="15"/>
  <c r="AC64" i="15"/>
  <c r="AC100" i="15"/>
  <c r="AC78" i="15"/>
  <c r="AC79" i="15" s="1"/>
  <c r="AC80" i="15" s="1"/>
  <c r="AC98" i="15" s="1"/>
  <c r="AC101" i="15"/>
  <c r="AE8" i="2"/>
  <c r="AD10" i="2"/>
  <c r="AD20" i="2"/>
  <c r="AD25" i="2"/>
  <c r="AD18" i="2"/>
  <c r="AD64" i="2"/>
  <c r="AD100" i="2"/>
  <c r="AD78" i="2"/>
  <c r="AD79" i="2" s="1"/>
  <c r="AD80" i="2" s="1"/>
  <c r="AD98" i="2" s="1"/>
  <c r="AD101" i="2"/>
  <c r="AD9" i="15"/>
  <c r="AE7" i="15"/>
  <c r="Y65" i="15"/>
  <c r="X99" i="15"/>
  <c r="X68" i="15"/>
  <c r="Y99" i="2"/>
  <c r="Y68" i="2"/>
  <c r="Z65" i="2"/>
  <c r="AC7" i="2"/>
  <c r="AB9" i="2"/>
  <c r="AD10" i="15" l="1"/>
  <c r="AE8" i="15"/>
  <c r="AD18" i="15"/>
  <c r="AD19" i="15" s="1"/>
  <c r="AD20" i="15"/>
  <c r="AD25" i="15"/>
  <c r="AD64" i="15"/>
  <c r="AD78" i="15"/>
  <c r="AD79" i="15" s="1"/>
  <c r="AD80" i="15" s="1"/>
  <c r="AD98" i="15" s="1"/>
  <c r="AD101" i="15"/>
  <c r="AD100" i="15"/>
  <c r="AF8" i="2"/>
  <c r="AE10" i="2"/>
  <c r="AE25" i="2"/>
  <c r="AE20" i="2"/>
  <c r="AE18" i="2"/>
  <c r="AE64" i="2"/>
  <c r="AE101" i="2"/>
  <c r="AE78" i="2"/>
  <c r="AE79" i="2" s="1"/>
  <c r="AE80" i="2" s="1"/>
  <c r="AE98" i="2" s="1"/>
  <c r="AE100" i="2"/>
  <c r="AD7" i="2"/>
  <c r="AC9" i="2"/>
  <c r="AA65" i="2"/>
  <c r="Z68" i="2"/>
  <c r="Z99" i="2"/>
  <c r="Y68" i="15"/>
  <c r="Z65" i="15"/>
  <c r="Y99" i="15"/>
  <c r="AF7" i="15"/>
  <c r="AE9" i="15"/>
  <c r="AE18" i="15" l="1"/>
  <c r="AE19" i="15" s="1"/>
  <c r="AF8" i="15"/>
  <c r="AE10" i="15"/>
  <c r="AE20" i="15"/>
  <c r="AE25" i="15"/>
  <c r="AE64" i="15"/>
  <c r="AE101" i="15"/>
  <c r="AE78" i="15"/>
  <c r="AE79" i="15" s="1"/>
  <c r="AE80" i="15" s="1"/>
  <c r="AE98" i="15" s="1"/>
  <c r="AE100" i="15"/>
  <c r="AG8" i="2"/>
  <c r="AF10" i="2"/>
  <c r="AF25" i="2"/>
  <c r="AF20" i="2"/>
  <c r="AF18" i="2"/>
  <c r="AF64" i="2"/>
  <c r="AF101" i="2"/>
  <c r="AF100" i="2"/>
  <c r="AF78" i="2"/>
  <c r="AF79" i="2" s="1"/>
  <c r="AF80" i="2" s="1"/>
  <c r="AF98" i="2" s="1"/>
  <c r="AG7" i="15"/>
  <c r="AF9" i="15"/>
  <c r="AA99" i="2"/>
  <c r="AA68" i="2"/>
  <c r="AB65" i="2"/>
  <c r="AA65" i="15"/>
  <c r="Z99" i="15"/>
  <c r="Z68" i="15"/>
  <c r="AE7" i="2"/>
  <c r="AD9" i="2"/>
  <c r="AF18" i="15" l="1"/>
  <c r="AF19" i="15" s="1"/>
  <c r="AG8" i="15"/>
  <c r="AF10" i="15"/>
  <c r="AF20" i="15"/>
  <c r="AF25" i="15"/>
  <c r="AF64" i="15"/>
  <c r="AF101" i="15"/>
  <c r="AF100" i="15"/>
  <c r="AF78" i="15"/>
  <c r="AF79" i="15" s="1"/>
  <c r="AF80" i="15" s="1"/>
  <c r="AF98" i="15" s="1"/>
  <c r="AH8" i="2"/>
  <c r="AG10" i="2"/>
  <c r="AG25" i="2"/>
  <c r="AG20" i="2"/>
  <c r="AG18" i="2"/>
  <c r="AG64" i="2"/>
  <c r="AG9" i="15"/>
  <c r="AH7" i="15"/>
  <c r="AA68" i="15"/>
  <c r="AA99" i="15"/>
  <c r="AB65" i="15"/>
  <c r="AB30" i="2"/>
  <c r="AB86" i="2" s="1"/>
  <c r="AB68" i="2"/>
  <c r="AB99" i="2"/>
  <c r="AC65" i="2"/>
  <c r="AF7" i="2"/>
  <c r="AE9" i="2"/>
  <c r="AG18" i="15" l="1"/>
  <c r="AG19" i="15" s="1"/>
  <c r="AG10" i="15"/>
  <c r="AH8" i="15"/>
  <c r="AG25" i="15"/>
  <c r="AG20" i="15"/>
  <c r="AG64" i="15"/>
  <c r="AG78" i="15"/>
  <c r="AG79" i="15" s="1"/>
  <c r="AG80" i="15" s="1"/>
  <c r="AG98" i="15" s="1"/>
  <c r="AI8" i="2"/>
  <c r="AH10" i="2"/>
  <c r="AH25" i="2"/>
  <c r="AH20" i="2"/>
  <c r="AH18" i="2"/>
  <c r="AH64" i="2"/>
  <c r="AH101" i="2"/>
  <c r="AH100" i="2"/>
  <c r="AH78" i="2"/>
  <c r="AH79" i="2" s="1"/>
  <c r="AH80" i="2" s="1"/>
  <c r="AH98" i="2" s="1"/>
  <c r="AC99" i="2"/>
  <c r="AC68" i="2"/>
  <c r="AC30" i="2"/>
  <c r="AC86" i="2" s="1"/>
  <c r="AD65" i="2"/>
  <c r="AF9" i="2"/>
  <c r="AG7" i="2"/>
  <c r="AC65" i="15"/>
  <c r="AB68" i="15"/>
  <c r="AB99" i="15"/>
  <c r="AI7" i="15"/>
  <c r="AH9" i="15"/>
  <c r="AH10" i="15" l="1"/>
  <c r="AI8" i="15"/>
  <c r="AH18" i="15"/>
  <c r="AH19" i="15" s="1"/>
  <c r="AH20" i="15"/>
  <c r="AH25" i="15"/>
  <c r="AH64" i="15"/>
  <c r="AH78" i="15"/>
  <c r="AH79" i="15" s="1"/>
  <c r="AH80" i="15" s="1"/>
  <c r="AH98" i="15" s="1"/>
  <c r="AH101" i="15"/>
  <c r="AH100" i="15"/>
  <c r="AI10" i="2"/>
  <c r="AJ8" i="2"/>
  <c r="AI20" i="2"/>
  <c r="AI25" i="2"/>
  <c r="AI18" i="2"/>
  <c r="AI64" i="2"/>
  <c r="AC68" i="15"/>
  <c r="AD65" i="15"/>
  <c r="AC99" i="15"/>
  <c r="AH7" i="2"/>
  <c r="AG9" i="2"/>
  <c r="AD30" i="2"/>
  <c r="AD86" i="2" s="1"/>
  <c r="AD99" i="2"/>
  <c r="AE65" i="2"/>
  <c r="AD68" i="2"/>
  <c r="AJ7" i="15"/>
  <c r="AI9" i="15"/>
  <c r="AI18" i="15" l="1"/>
  <c r="AI19" i="15" s="1"/>
  <c r="AJ8" i="15"/>
  <c r="AI10" i="15"/>
  <c r="AI20" i="15"/>
  <c r="AI25" i="15"/>
  <c r="AI64" i="15"/>
  <c r="AI78" i="15"/>
  <c r="AI79" i="15" s="1"/>
  <c r="AI80" i="15" s="1"/>
  <c r="AI98" i="15" s="1"/>
  <c r="AI101" i="15"/>
  <c r="AI100" i="15"/>
  <c r="AJ10" i="2"/>
  <c r="AK8" i="2"/>
  <c r="AJ20" i="2"/>
  <c r="AJ25" i="2"/>
  <c r="AJ18" i="2"/>
  <c r="AJ64" i="2"/>
  <c r="AJ100" i="2"/>
  <c r="AJ78" i="2"/>
  <c r="AJ79" i="2" s="1"/>
  <c r="AJ80" i="2" s="1"/>
  <c r="AJ98" i="2" s="1"/>
  <c r="AJ101" i="2"/>
  <c r="AI7" i="2"/>
  <c r="AH9" i="2"/>
  <c r="AJ9" i="15"/>
  <c r="AK7" i="15"/>
  <c r="AE65" i="15"/>
  <c r="AD68" i="15"/>
  <c r="AD99" i="15"/>
  <c r="AE68" i="2"/>
  <c r="AE30" i="2"/>
  <c r="AE86" i="2" s="1"/>
  <c r="AF65" i="2"/>
  <c r="AJ18" i="15" l="1"/>
  <c r="AJ19" i="15" s="1"/>
  <c r="AJ10" i="15"/>
  <c r="AK8" i="15"/>
  <c r="AJ20" i="15"/>
  <c r="AJ25" i="15"/>
  <c r="AJ64" i="15"/>
  <c r="AJ101" i="15"/>
  <c r="AJ100" i="15"/>
  <c r="AJ78" i="15"/>
  <c r="AJ79" i="15" s="1"/>
  <c r="AJ80" i="15" s="1"/>
  <c r="AJ98" i="15" s="1"/>
  <c r="AL8" i="2"/>
  <c r="AK10" i="2"/>
  <c r="AK20" i="2"/>
  <c r="AK25" i="2"/>
  <c r="AK18" i="2"/>
  <c r="AK64" i="2"/>
  <c r="AK78" i="2"/>
  <c r="AK79" i="2" s="1"/>
  <c r="AK80" i="2" s="1"/>
  <c r="AK98" i="2" s="1"/>
  <c r="AJ7" i="2"/>
  <c r="AI9" i="2"/>
  <c r="AE68" i="15"/>
  <c r="AF65" i="15"/>
  <c r="AF30" i="2"/>
  <c r="AF86" i="2" s="1"/>
  <c r="AF68" i="2"/>
  <c r="AG65" i="2"/>
  <c r="AL7" i="15"/>
  <c r="AK9" i="15"/>
  <c r="AL8" i="15" l="1"/>
  <c r="AK10" i="15"/>
  <c r="AK18" i="15"/>
  <c r="AK19" i="15" s="1"/>
  <c r="AK20" i="15"/>
  <c r="AK25" i="15"/>
  <c r="AK64" i="15"/>
  <c r="AK101" i="15"/>
  <c r="AK78" i="15"/>
  <c r="AK79" i="15" s="1"/>
  <c r="AK80" i="15" s="1"/>
  <c r="AK98" i="15" s="1"/>
  <c r="AK100" i="15"/>
  <c r="AM8" i="2"/>
  <c r="AL10" i="2"/>
  <c r="AL20" i="2"/>
  <c r="AL25" i="2"/>
  <c r="AL18" i="2"/>
  <c r="AL64" i="2"/>
  <c r="AL101" i="2"/>
  <c r="AL78" i="2"/>
  <c r="AL79" i="2" s="1"/>
  <c r="AL80" i="2" s="1"/>
  <c r="AL98" i="2" s="1"/>
  <c r="AL100" i="2"/>
  <c r="AF68" i="15"/>
  <c r="AG65" i="15"/>
  <c r="AL9" i="15"/>
  <c r="AM7" i="15"/>
  <c r="AG68" i="2"/>
  <c r="AG30" i="2"/>
  <c r="AG86" i="2" s="1"/>
  <c r="AH65" i="2"/>
  <c r="AK7" i="2"/>
  <c r="AJ9" i="2"/>
  <c r="AL10" i="15" l="1"/>
  <c r="AM8" i="15"/>
  <c r="AL18" i="15"/>
  <c r="AL19" i="15" s="1"/>
  <c r="AL25" i="15"/>
  <c r="AL20" i="15"/>
  <c r="AL64" i="15"/>
  <c r="AL100" i="15"/>
  <c r="AL78" i="15"/>
  <c r="AL79" i="15" s="1"/>
  <c r="AL80" i="15" s="1"/>
  <c r="AL98" i="15" s="1"/>
  <c r="AL101" i="15"/>
  <c r="AN8" i="2"/>
  <c r="AM10" i="2"/>
  <c r="AM20" i="2"/>
  <c r="AM25" i="2"/>
  <c r="AM18" i="2"/>
  <c r="AM64" i="2"/>
  <c r="AM49" i="2"/>
  <c r="AH68" i="2"/>
  <c r="AN7" i="15"/>
  <c r="AM9" i="15"/>
  <c r="AL7" i="2"/>
  <c r="AK9" i="2"/>
  <c r="AH30" i="2"/>
  <c r="AH86" i="2" s="1"/>
  <c r="AI65" i="2"/>
  <c r="AG68" i="15"/>
  <c r="AH65" i="15"/>
  <c r="AM18" i="15" l="1"/>
  <c r="AM19" i="15" s="1"/>
  <c r="AN8" i="15"/>
  <c r="AM10" i="15"/>
  <c r="AM25" i="15"/>
  <c r="AM20" i="15"/>
  <c r="AM64" i="15"/>
  <c r="AN10" i="2"/>
  <c r="AO8" i="2"/>
  <c r="AN25" i="2"/>
  <c r="AN20" i="2"/>
  <c r="AN18" i="2"/>
  <c r="AN64" i="2"/>
  <c r="AN78" i="2"/>
  <c r="AN79" i="2" s="1"/>
  <c r="AN80" i="2" s="1"/>
  <c r="AN98" i="2" s="1"/>
  <c r="AN68" i="2"/>
  <c r="AN69" i="2"/>
  <c r="AN49" i="2"/>
  <c r="AN57" i="2"/>
  <c r="AN59" i="2" s="1"/>
  <c r="AN52" i="2"/>
  <c r="AI68" i="2"/>
  <c r="AI30" i="2"/>
  <c r="AI86" i="2" s="1"/>
  <c r="AJ65" i="2"/>
  <c r="AM7" i="2"/>
  <c r="AL9" i="2"/>
  <c r="AI65" i="15"/>
  <c r="AH68" i="15"/>
  <c r="AH30" i="15"/>
  <c r="AH86" i="15" s="1"/>
  <c r="AO7" i="15"/>
  <c r="AN9" i="15"/>
  <c r="AN71" i="2" l="1"/>
  <c r="AN97" i="2" s="1"/>
  <c r="AN18" i="15"/>
  <c r="AN19" i="15" s="1"/>
  <c r="AN10" i="15"/>
  <c r="AO8" i="15"/>
  <c r="AN20" i="15"/>
  <c r="AN25" i="15"/>
  <c r="AN64" i="15"/>
  <c r="AN78" i="15"/>
  <c r="AN79" i="15" s="1"/>
  <c r="AN80" i="15" s="1"/>
  <c r="AN98" i="15" s="1"/>
  <c r="AP8" i="2"/>
  <c r="AO10" i="2"/>
  <c r="AO25" i="2"/>
  <c r="AO20" i="2"/>
  <c r="AO18" i="2"/>
  <c r="AO64" i="2"/>
  <c r="AO78" i="2"/>
  <c r="AO79" i="2" s="1"/>
  <c r="AO80" i="2" s="1"/>
  <c r="AO98" i="2" s="1"/>
  <c r="AO68" i="2"/>
  <c r="AO71" i="2" s="1"/>
  <c r="AO97" i="2" s="1"/>
  <c r="AO49" i="2"/>
  <c r="AO57" i="2"/>
  <c r="AO59" i="2" s="1"/>
  <c r="AO69" i="2"/>
  <c r="AO101" i="2"/>
  <c r="AO100" i="2"/>
  <c r="AO52" i="2"/>
  <c r="AJ69" i="2"/>
  <c r="AJ68" i="2"/>
  <c r="AJ65" i="15"/>
  <c r="AI68" i="15"/>
  <c r="AI30" i="15"/>
  <c r="AI86" i="15" s="1"/>
  <c r="AM9" i="2"/>
  <c r="AN7" i="2"/>
  <c r="AO9" i="15"/>
  <c r="AP7" i="15"/>
  <c r="AJ30" i="2"/>
  <c r="AJ86" i="2" s="1"/>
  <c r="AK65" i="2"/>
  <c r="AO18" i="15" l="1"/>
  <c r="AO19" i="15" s="1"/>
  <c r="AO10" i="15"/>
  <c r="AP8" i="15"/>
  <c r="AO20" i="15"/>
  <c r="AO25" i="15"/>
  <c r="AO64" i="15"/>
  <c r="AO78" i="15"/>
  <c r="AO79" i="15" s="1"/>
  <c r="AO80" i="15" s="1"/>
  <c r="AO98" i="15" s="1"/>
  <c r="AP10" i="2"/>
  <c r="AQ8" i="2"/>
  <c r="AP25" i="2"/>
  <c r="AP20" i="2"/>
  <c r="AP18" i="2"/>
  <c r="AP64" i="2"/>
  <c r="AP49" i="2"/>
  <c r="AP69" i="2"/>
  <c r="AP68" i="2"/>
  <c r="AP101" i="2"/>
  <c r="AP78" i="2"/>
  <c r="AP79" i="2" s="1"/>
  <c r="AP80" i="2" s="1"/>
  <c r="AP98" i="2" s="1"/>
  <c r="AP52" i="2"/>
  <c r="AP57" i="2"/>
  <c r="AP59" i="2" s="1"/>
  <c r="AP100" i="2"/>
  <c r="AJ71" i="2"/>
  <c r="AJ97" i="2" s="1"/>
  <c r="AK68" i="2"/>
  <c r="AK69" i="2"/>
  <c r="AQ7" i="15"/>
  <c r="AP9" i="15"/>
  <c r="AK30" i="2"/>
  <c r="AK86" i="2" s="1"/>
  <c r="AL65" i="2"/>
  <c r="AN9" i="2"/>
  <c r="AO7" i="2"/>
  <c r="AK65" i="15"/>
  <c r="AJ68" i="15"/>
  <c r="AJ30" i="15"/>
  <c r="AJ86" i="15" s="1"/>
  <c r="AP10" i="15" l="1"/>
  <c r="AQ8" i="15"/>
  <c r="AP18" i="15"/>
  <c r="AP19" i="15" s="1"/>
  <c r="AP20" i="15"/>
  <c r="AP25" i="15"/>
  <c r="AP64" i="15"/>
  <c r="AP100" i="15"/>
  <c r="AP101" i="15"/>
  <c r="AP78" i="15"/>
  <c r="AP79" i="15" s="1"/>
  <c r="AP80" i="15" s="1"/>
  <c r="AP98" i="15" s="1"/>
  <c r="AR8" i="2"/>
  <c r="AQ10" i="2"/>
  <c r="AQ25" i="2"/>
  <c r="AQ20" i="2"/>
  <c r="AQ18" i="2"/>
  <c r="AQ64" i="2"/>
  <c r="AQ100" i="2"/>
  <c r="AQ101" i="2"/>
  <c r="AQ49" i="2"/>
  <c r="AQ69" i="2"/>
  <c r="AQ52" i="2"/>
  <c r="AQ78" i="2"/>
  <c r="AQ79" i="2" s="1"/>
  <c r="AQ80" i="2" s="1"/>
  <c r="AQ98" i="2" s="1"/>
  <c r="AQ57" i="2"/>
  <c r="AQ59" i="2" s="1"/>
  <c r="AQ68" i="2"/>
  <c r="AQ71" i="2" s="1"/>
  <c r="AQ97" i="2" s="1"/>
  <c r="AP71" i="2"/>
  <c r="AP97" i="2" s="1"/>
  <c r="AL69" i="2"/>
  <c r="AL68" i="2"/>
  <c r="AK71" i="2"/>
  <c r="AK97" i="2" s="1"/>
  <c r="AP7" i="2"/>
  <c r="AO9" i="2"/>
  <c r="AL30" i="2"/>
  <c r="AL86" i="2" s="1"/>
  <c r="AM65" i="2"/>
  <c r="AL65" i="15"/>
  <c r="AK30" i="15"/>
  <c r="AK86" i="15" s="1"/>
  <c r="AK68" i="15"/>
  <c r="AR7" i="15"/>
  <c r="AQ9" i="15"/>
  <c r="AQ18" i="15" l="1"/>
  <c r="AQ19" i="15" s="1"/>
  <c r="AR8" i="15"/>
  <c r="AQ10" i="15"/>
  <c r="AQ25" i="15"/>
  <c r="AQ20" i="15"/>
  <c r="AQ64" i="15"/>
  <c r="AQ100" i="15"/>
  <c r="AQ101" i="15"/>
  <c r="AQ78" i="15"/>
  <c r="AQ79" i="15" s="1"/>
  <c r="AQ80" i="15" s="1"/>
  <c r="AQ98" i="15" s="1"/>
  <c r="AR10" i="2"/>
  <c r="AS8" i="2"/>
  <c r="AR20" i="2"/>
  <c r="AR25" i="2"/>
  <c r="AR18" i="2"/>
  <c r="AR64" i="2"/>
  <c r="AR52" i="2"/>
  <c r="AR57" i="2"/>
  <c r="AR59" i="2" s="1"/>
  <c r="AR78" i="2"/>
  <c r="AR79" i="2" s="1"/>
  <c r="AR80" i="2" s="1"/>
  <c r="AR98" i="2" s="1"/>
  <c r="AR100" i="2"/>
  <c r="AR49" i="2"/>
  <c r="AR101" i="2"/>
  <c r="AR69" i="2"/>
  <c r="AR68" i="2"/>
  <c r="AL71" i="2"/>
  <c r="AL97" i="2" s="1"/>
  <c r="AM68" i="2"/>
  <c r="AM69" i="2"/>
  <c r="AL30" i="15"/>
  <c r="AL86" i="15" s="1"/>
  <c r="AL68" i="15"/>
  <c r="AM65" i="15"/>
  <c r="AN65" i="2"/>
  <c r="AM30" i="2"/>
  <c r="AM86" i="2" s="1"/>
  <c r="AR9" i="15"/>
  <c r="AS7" i="15"/>
  <c r="AQ7" i="2"/>
  <c r="AP9" i="2"/>
  <c r="AR18" i="15" l="1"/>
  <c r="AR19" i="15" s="1"/>
  <c r="AR10" i="15"/>
  <c r="AS8" i="15"/>
  <c r="AR25" i="15"/>
  <c r="AR20" i="15"/>
  <c r="AR64" i="15"/>
  <c r="AR100" i="15"/>
  <c r="AR78" i="15"/>
  <c r="AR79" i="15" s="1"/>
  <c r="AR80" i="15" s="1"/>
  <c r="AR98" i="15" s="1"/>
  <c r="AR101" i="15"/>
  <c r="AR71" i="2"/>
  <c r="AR97" i="2" s="1"/>
  <c r="AT8" i="2"/>
  <c r="AS10" i="2"/>
  <c r="AS20" i="2"/>
  <c r="AS25" i="2"/>
  <c r="AS18" i="2"/>
  <c r="AS64" i="2"/>
  <c r="AS100" i="2"/>
  <c r="AS78" i="2"/>
  <c r="AS79" i="2" s="1"/>
  <c r="AS80" i="2" s="1"/>
  <c r="AS98" i="2" s="1"/>
  <c r="AS52" i="2"/>
  <c r="AS57" i="2"/>
  <c r="AS59" i="2" s="1"/>
  <c r="AS101" i="2"/>
  <c r="AS69" i="2"/>
  <c r="AS49" i="2"/>
  <c r="AS68" i="2"/>
  <c r="AS71" i="2" s="1"/>
  <c r="AS97" i="2" s="1"/>
  <c r="AM71" i="2"/>
  <c r="AM97" i="2" s="1"/>
  <c r="AN99" i="2"/>
  <c r="AO65" i="2"/>
  <c r="AN30" i="2"/>
  <c r="AN72" i="2"/>
  <c r="AN31" i="2" s="1"/>
  <c r="AN87" i="2" s="1"/>
  <c r="AM30" i="15"/>
  <c r="AM86" i="15" s="1"/>
  <c r="AM68" i="15"/>
  <c r="AN65" i="15"/>
  <c r="AT7" i="15"/>
  <c r="AS9" i="15"/>
  <c r="AR7" i="2"/>
  <c r="AQ9" i="2"/>
  <c r="AT8" i="15" l="1"/>
  <c r="AS10" i="15"/>
  <c r="AS18" i="15"/>
  <c r="AS19" i="15" s="1"/>
  <c r="AS25" i="15"/>
  <c r="AS20" i="15"/>
  <c r="AS64" i="15"/>
  <c r="AS49" i="15"/>
  <c r="AU8" i="2"/>
  <c r="AT10" i="2"/>
  <c r="AT25" i="2"/>
  <c r="AT20" i="2"/>
  <c r="AT18" i="2"/>
  <c r="AT64" i="2"/>
  <c r="AT57" i="2"/>
  <c r="AT59" i="2" s="1"/>
  <c r="AT101" i="2"/>
  <c r="AT68" i="2"/>
  <c r="AT69" i="2"/>
  <c r="AT52" i="2"/>
  <c r="AT78" i="2"/>
  <c r="AT79" i="2" s="1"/>
  <c r="AT80" i="2" s="1"/>
  <c r="AT98" i="2" s="1"/>
  <c r="AT100" i="2"/>
  <c r="AT49" i="2"/>
  <c r="AS7" i="2"/>
  <c r="AR9" i="2"/>
  <c r="AN30" i="15"/>
  <c r="AN86" i="15" s="1"/>
  <c r="AN68" i="15"/>
  <c r="AO65" i="15"/>
  <c r="AN86" i="2"/>
  <c r="AN32" i="2"/>
  <c r="AT9" i="15"/>
  <c r="AU7" i="15"/>
  <c r="AP65" i="2"/>
  <c r="AO30" i="2"/>
  <c r="AO72" i="2"/>
  <c r="AO31" i="2" s="1"/>
  <c r="AO87" i="2" s="1"/>
  <c r="AO99" i="2"/>
  <c r="AU8" i="15" l="1"/>
  <c r="AT18" i="15"/>
  <c r="AT19" i="15" s="1"/>
  <c r="AT10" i="15"/>
  <c r="AT25" i="15"/>
  <c r="AT20" i="15"/>
  <c r="AT64" i="15"/>
  <c r="AT57" i="15"/>
  <c r="AT59" i="15" s="1"/>
  <c r="AT100" i="15"/>
  <c r="AT78" i="15"/>
  <c r="AT79" i="15" s="1"/>
  <c r="AT80" i="15" s="1"/>
  <c r="AT98" i="15" s="1"/>
  <c r="AT101" i="15"/>
  <c r="AT68" i="15"/>
  <c r="AT69" i="15"/>
  <c r="AT49" i="15"/>
  <c r="AT52" i="15"/>
  <c r="AV8" i="2"/>
  <c r="AU10" i="2"/>
  <c r="AU20" i="2"/>
  <c r="AU25" i="2"/>
  <c r="AU18" i="2"/>
  <c r="AU64" i="2"/>
  <c r="AU68" i="2"/>
  <c r="AU49" i="2"/>
  <c r="AU78" i="2"/>
  <c r="AU79" i="2" s="1"/>
  <c r="AU80" i="2" s="1"/>
  <c r="AU98" i="2" s="1"/>
  <c r="AU100" i="2"/>
  <c r="AU101" i="2"/>
  <c r="AU69" i="2"/>
  <c r="AU52" i="2"/>
  <c r="AU57" i="2"/>
  <c r="AU59" i="2" s="1"/>
  <c r="AT71" i="2"/>
  <c r="AT97" i="2" s="1"/>
  <c r="AO68" i="15"/>
  <c r="AP65" i="15"/>
  <c r="AO30" i="15"/>
  <c r="AO86" i="15" s="1"/>
  <c r="AO32" i="2"/>
  <c r="AO86" i="2"/>
  <c r="AP72" i="2"/>
  <c r="AP31" i="2" s="1"/>
  <c r="AP87" i="2" s="1"/>
  <c r="AP99" i="2"/>
  <c r="AP30" i="2"/>
  <c r="AQ65" i="2"/>
  <c r="AV7" i="15"/>
  <c r="AU9" i="15"/>
  <c r="AS9" i="2"/>
  <c r="AT7" i="2"/>
  <c r="AT71" i="15" l="1"/>
  <c r="AT97" i="15" s="1"/>
  <c r="AU18" i="15"/>
  <c r="AU19" i="15" s="1"/>
  <c r="AV8" i="15"/>
  <c r="AU10" i="15"/>
  <c r="AU25" i="15"/>
  <c r="AU20" i="15"/>
  <c r="AU64" i="15"/>
  <c r="AU101" i="15"/>
  <c r="AU49" i="15"/>
  <c r="AU68" i="15"/>
  <c r="AU52" i="15"/>
  <c r="AU100" i="15"/>
  <c r="AU78" i="15"/>
  <c r="AU79" i="15" s="1"/>
  <c r="AU80" i="15" s="1"/>
  <c r="AU98" i="15" s="1"/>
  <c r="AU69" i="15"/>
  <c r="AU57" i="15"/>
  <c r="AU59" i="15" s="1"/>
  <c r="AU71" i="2"/>
  <c r="AU97" i="2" s="1"/>
  <c r="AV10" i="2"/>
  <c r="AW8" i="2"/>
  <c r="AV25" i="2"/>
  <c r="AV20" i="2"/>
  <c r="AV18" i="2"/>
  <c r="AV64" i="2"/>
  <c r="AV68" i="2"/>
  <c r="AV100" i="2"/>
  <c r="AV52" i="2"/>
  <c r="AV49" i="2"/>
  <c r="AV78" i="2"/>
  <c r="AV79" i="2" s="1"/>
  <c r="AV80" i="2" s="1"/>
  <c r="AV98" i="2" s="1"/>
  <c r="AV57" i="2"/>
  <c r="AV59" i="2" s="1"/>
  <c r="AV69" i="2"/>
  <c r="AV101" i="2"/>
  <c r="AT9" i="2"/>
  <c r="AU7" i="2"/>
  <c r="AW7" i="15"/>
  <c r="AV9" i="15"/>
  <c r="AP30" i="15"/>
  <c r="AP86" i="15" s="1"/>
  <c r="AQ65" i="15"/>
  <c r="AP68" i="15"/>
  <c r="AQ99" i="2"/>
  <c r="AQ72" i="2"/>
  <c r="AQ31" i="2" s="1"/>
  <c r="AQ87" i="2" s="1"/>
  <c r="AR65" i="2"/>
  <c r="AQ30" i="2"/>
  <c r="AP32" i="2"/>
  <c r="AP86" i="2"/>
  <c r="AV18" i="15" l="1"/>
  <c r="AV19" i="15" s="1"/>
  <c r="AV10" i="15"/>
  <c r="AW8" i="15"/>
  <c r="AV20" i="15"/>
  <c r="AV25" i="15"/>
  <c r="AV64" i="15"/>
  <c r="AV69" i="15"/>
  <c r="AV52" i="15"/>
  <c r="AV49" i="15"/>
  <c r="AV68" i="15"/>
  <c r="AV57" i="15"/>
  <c r="AV59" i="15" s="1"/>
  <c r="AV101" i="15"/>
  <c r="AV100" i="15"/>
  <c r="AV78" i="15"/>
  <c r="AV79" i="15" s="1"/>
  <c r="AV80" i="15" s="1"/>
  <c r="AV98" i="15" s="1"/>
  <c r="AU71" i="15"/>
  <c r="AU97" i="15" s="1"/>
  <c r="AV71" i="2"/>
  <c r="AV97" i="2" s="1"/>
  <c r="AX8" i="2"/>
  <c r="AW10" i="2"/>
  <c r="AW20" i="2"/>
  <c r="AW25" i="2"/>
  <c r="AW18" i="2"/>
  <c r="AW64" i="2"/>
  <c r="AW49" i="2"/>
  <c r="AW101" i="2"/>
  <c r="AW68" i="2"/>
  <c r="AW57" i="2"/>
  <c r="AW59" i="2" s="1"/>
  <c r="AW52" i="2"/>
  <c r="AW69" i="2"/>
  <c r="AW100" i="2"/>
  <c r="AW78" i="2"/>
  <c r="AW79" i="2" s="1"/>
  <c r="AW80" i="2" s="1"/>
  <c r="AW98" i="2" s="1"/>
  <c r="AQ30" i="15"/>
  <c r="AQ86" i="15" s="1"/>
  <c r="AR65" i="15"/>
  <c r="AQ68" i="15"/>
  <c r="AQ86" i="2"/>
  <c r="AQ32" i="2"/>
  <c r="AR30" i="2"/>
  <c r="AR72" i="2"/>
  <c r="AR31" i="2" s="1"/>
  <c r="AR87" i="2" s="1"/>
  <c r="AR99" i="2"/>
  <c r="AS65" i="2"/>
  <c r="AW9" i="15"/>
  <c r="AX7" i="15"/>
  <c r="AV7" i="2"/>
  <c r="AU9" i="2"/>
  <c r="AW18" i="15" l="1"/>
  <c r="AW19" i="15" s="1"/>
  <c r="AW10" i="15"/>
  <c r="AX8" i="15"/>
  <c r="AW20" i="15"/>
  <c r="AW25" i="15"/>
  <c r="AW64" i="15"/>
  <c r="AW101" i="15"/>
  <c r="AW68" i="15"/>
  <c r="AW71" i="15" s="1"/>
  <c r="AW97" i="15" s="1"/>
  <c r="AW100" i="15"/>
  <c r="AW78" i="15"/>
  <c r="AW79" i="15" s="1"/>
  <c r="AW80" i="15" s="1"/>
  <c r="AW98" i="15" s="1"/>
  <c r="AW49" i="15"/>
  <c r="AW57" i="15"/>
  <c r="AW59" i="15" s="1"/>
  <c r="AW69" i="15"/>
  <c r="AW52" i="15"/>
  <c r="AV71" i="15"/>
  <c r="AV97" i="15" s="1"/>
  <c r="AW71" i="2"/>
  <c r="AW97" i="2" s="1"/>
  <c r="AY8" i="2"/>
  <c r="AX10" i="2"/>
  <c r="AX20" i="2"/>
  <c r="AX25" i="2"/>
  <c r="AX18" i="2"/>
  <c r="AX64" i="2"/>
  <c r="AX100" i="2"/>
  <c r="AX69" i="2"/>
  <c r="AX57" i="2"/>
  <c r="AX59" i="2" s="1"/>
  <c r="AX49" i="2"/>
  <c r="AX101" i="2"/>
  <c r="AX68" i="2"/>
  <c r="AX52" i="2"/>
  <c r="AX78" i="2"/>
  <c r="AX79" i="2" s="1"/>
  <c r="AX80" i="2" s="1"/>
  <c r="AX98" i="2" s="1"/>
  <c r="AV9" i="2"/>
  <c r="AW7" i="2"/>
  <c r="AY7" i="15"/>
  <c r="AX9" i="15"/>
  <c r="AR86" i="2"/>
  <c r="AR32" i="2"/>
  <c r="AS99" i="2"/>
  <c r="AS72" i="2"/>
  <c r="AS31" i="2" s="1"/>
  <c r="AS87" i="2" s="1"/>
  <c r="AT65" i="2"/>
  <c r="AS30" i="2"/>
  <c r="AR68" i="15"/>
  <c r="AR30" i="15"/>
  <c r="AR86" i="15" s="1"/>
  <c r="AS65" i="15"/>
  <c r="AX10" i="15" l="1"/>
  <c r="AY8" i="15"/>
  <c r="AX18" i="15"/>
  <c r="AX19" i="15" s="1"/>
  <c r="AX25" i="15"/>
  <c r="AX20" i="15"/>
  <c r="AX64" i="15"/>
  <c r="AX57" i="15"/>
  <c r="AX59" i="15" s="1"/>
  <c r="AX78" i="15"/>
  <c r="AX79" i="15" s="1"/>
  <c r="AX80" i="15" s="1"/>
  <c r="AX98" i="15" s="1"/>
  <c r="AX69" i="15"/>
  <c r="AX52" i="15"/>
  <c r="AX49" i="15"/>
  <c r="AX100" i="15"/>
  <c r="AX101" i="15"/>
  <c r="AX68" i="15"/>
  <c r="AX71" i="15" s="1"/>
  <c r="AX97" i="15" s="1"/>
  <c r="AX71" i="2"/>
  <c r="AX97" i="2" s="1"/>
  <c r="AZ8" i="2"/>
  <c r="AY10" i="2"/>
  <c r="AY20" i="2"/>
  <c r="AY25" i="2"/>
  <c r="AY18" i="2"/>
  <c r="AY64" i="2"/>
  <c r="AY100" i="2"/>
  <c r="AY49" i="2"/>
  <c r="AY68" i="2"/>
  <c r="AY78" i="2"/>
  <c r="AY79" i="2" s="1"/>
  <c r="AY80" i="2" s="1"/>
  <c r="AY98" i="2" s="1"/>
  <c r="AY69" i="2"/>
  <c r="AY52" i="2"/>
  <c r="AY57" i="2"/>
  <c r="AY59" i="2" s="1"/>
  <c r="AY101" i="2"/>
  <c r="AS30" i="15"/>
  <c r="AS86" i="15" s="1"/>
  <c r="AT65" i="15"/>
  <c r="AS68" i="15"/>
  <c r="AZ7" i="15"/>
  <c r="AY9" i="15"/>
  <c r="AS32" i="2"/>
  <c r="AS86" i="2"/>
  <c r="AT99" i="2"/>
  <c r="AT30" i="2"/>
  <c r="AT72" i="2"/>
  <c r="AT31" i="2" s="1"/>
  <c r="AT87" i="2" s="1"/>
  <c r="AU65" i="2"/>
  <c r="AW9" i="2"/>
  <c r="AX7" i="2"/>
  <c r="AY18" i="15" l="1"/>
  <c r="AY19" i="15" s="1"/>
  <c r="AZ8" i="15"/>
  <c r="AY10" i="15"/>
  <c r="AY20" i="15"/>
  <c r="AY25" i="15"/>
  <c r="AY64" i="15"/>
  <c r="AY78" i="15"/>
  <c r="AY79" i="15" s="1"/>
  <c r="AY80" i="15" s="1"/>
  <c r="AY98" i="15" s="1"/>
  <c r="AY57" i="15"/>
  <c r="AY59" i="15" s="1"/>
  <c r="AY68" i="15"/>
  <c r="AY69" i="15"/>
  <c r="AY49" i="15"/>
  <c r="AY100" i="15"/>
  <c r="AY52" i="15"/>
  <c r="AY101" i="15"/>
  <c r="AY71" i="2"/>
  <c r="AY97" i="2" s="1"/>
  <c r="BA8" i="2"/>
  <c r="AZ10" i="2"/>
  <c r="AZ20" i="2"/>
  <c r="AZ25" i="2"/>
  <c r="AZ18" i="2"/>
  <c r="AZ64" i="2"/>
  <c r="AZ100" i="2"/>
  <c r="AZ52" i="2"/>
  <c r="AZ57" i="2"/>
  <c r="AZ59" i="2" s="1"/>
  <c r="AZ78" i="2"/>
  <c r="AZ79" i="2" s="1"/>
  <c r="AZ80" i="2" s="1"/>
  <c r="AZ98" i="2" s="1"/>
  <c r="AZ101" i="2"/>
  <c r="AZ69" i="2"/>
  <c r="AZ49" i="2"/>
  <c r="AZ68" i="2"/>
  <c r="AY7" i="2"/>
  <c r="AX9" i="2"/>
  <c r="AZ9" i="15"/>
  <c r="BA7" i="15"/>
  <c r="AU30" i="2"/>
  <c r="AU99" i="2"/>
  <c r="AU72" i="2"/>
  <c r="AU31" i="2" s="1"/>
  <c r="AU87" i="2" s="1"/>
  <c r="AV65" i="2"/>
  <c r="AT30" i="15"/>
  <c r="AT86" i="15" s="1"/>
  <c r="AU65" i="15"/>
  <c r="AT86" i="2"/>
  <c r="AT32" i="2"/>
  <c r="AY71" i="15" l="1"/>
  <c r="AY97" i="15" s="1"/>
  <c r="AZ71" i="2"/>
  <c r="AZ97" i="2" s="1"/>
  <c r="AZ18" i="15"/>
  <c r="AZ19" i="15" s="1"/>
  <c r="AZ10" i="15"/>
  <c r="BA8" i="15"/>
  <c r="AZ25" i="15"/>
  <c r="AZ20" i="15"/>
  <c r="AZ64" i="15"/>
  <c r="AZ78" i="15"/>
  <c r="AZ79" i="15" s="1"/>
  <c r="AZ80" i="15" s="1"/>
  <c r="AZ98" i="15" s="1"/>
  <c r="AZ68" i="15"/>
  <c r="AZ71" i="15" s="1"/>
  <c r="AZ97" i="15" s="1"/>
  <c r="AZ100" i="15"/>
  <c r="AZ57" i="15"/>
  <c r="AZ59" i="15" s="1"/>
  <c r="AZ101" i="15"/>
  <c r="AZ49" i="15"/>
  <c r="AZ52" i="15"/>
  <c r="AZ69" i="15"/>
  <c r="BB8" i="2"/>
  <c r="BA10" i="2"/>
  <c r="BA20" i="2"/>
  <c r="BA25" i="2"/>
  <c r="BA18" i="2"/>
  <c r="BA64" i="2"/>
  <c r="BA57" i="2"/>
  <c r="BA59" i="2" s="1"/>
  <c r="BA52" i="2"/>
  <c r="BA100" i="2"/>
  <c r="BA78" i="2"/>
  <c r="BA79" i="2" s="1"/>
  <c r="BA80" i="2" s="1"/>
  <c r="BA98" i="2" s="1"/>
  <c r="BA68" i="2"/>
  <c r="BA49" i="2"/>
  <c r="BA101" i="2"/>
  <c r="BA69" i="2"/>
  <c r="AV30" i="2"/>
  <c r="AV72" i="2"/>
  <c r="AV31" i="2" s="1"/>
  <c r="AV87" i="2" s="1"/>
  <c r="AV99" i="2"/>
  <c r="AW65" i="2"/>
  <c r="AU32" i="2"/>
  <c r="AU86" i="2"/>
  <c r="BB7" i="15"/>
  <c r="BA9" i="15"/>
  <c r="AV65" i="15"/>
  <c r="AU30" i="15"/>
  <c r="AU86" i="15" s="1"/>
  <c r="AZ7" i="2"/>
  <c r="AY9" i="2"/>
  <c r="BA71" i="2" l="1"/>
  <c r="BA97" i="2" s="1"/>
  <c r="BB8" i="15"/>
  <c r="BA18" i="15"/>
  <c r="BA19" i="15" s="1"/>
  <c r="BA10" i="15"/>
  <c r="BA20" i="15"/>
  <c r="BA25" i="15"/>
  <c r="BA64" i="15"/>
  <c r="BA49" i="15"/>
  <c r="BA100" i="15"/>
  <c r="BA101" i="15"/>
  <c r="BA68" i="15"/>
  <c r="BA78" i="15"/>
  <c r="BA79" i="15" s="1"/>
  <c r="BA80" i="15" s="1"/>
  <c r="BA98" i="15" s="1"/>
  <c r="BA52" i="15"/>
  <c r="BA69" i="15"/>
  <c r="BA57" i="15"/>
  <c r="BA59" i="15" s="1"/>
  <c r="BC8" i="2"/>
  <c r="BB10" i="2"/>
  <c r="BB20" i="2"/>
  <c r="BB25" i="2"/>
  <c r="BB18" i="2"/>
  <c r="BB64" i="2"/>
  <c r="BB78" i="2"/>
  <c r="BB79" i="2" s="1"/>
  <c r="BB80" i="2" s="1"/>
  <c r="BB98" i="2" s="1"/>
  <c r="BB100" i="2"/>
  <c r="BB68" i="2"/>
  <c r="BB69" i="2"/>
  <c r="BB49" i="2"/>
  <c r="BB52" i="2"/>
  <c r="BB101" i="2"/>
  <c r="BB57" i="2"/>
  <c r="BB59" i="2" s="1"/>
  <c r="BB9" i="15"/>
  <c r="BC7" i="15"/>
  <c r="AZ9" i="2"/>
  <c r="BA7" i="2"/>
  <c r="AW30" i="2"/>
  <c r="AW72" i="2"/>
  <c r="AW31" i="2" s="1"/>
  <c r="AW87" i="2" s="1"/>
  <c r="AX65" i="2"/>
  <c r="AW99" i="2"/>
  <c r="AW65" i="15"/>
  <c r="AV99" i="15"/>
  <c r="AV30" i="15"/>
  <c r="AV72" i="15"/>
  <c r="AV31" i="15" s="1"/>
  <c r="AV87" i="15" s="1"/>
  <c r="AV86" i="2"/>
  <c r="AV32" i="2"/>
  <c r="BA71" i="15" l="1"/>
  <c r="BA97" i="15" s="1"/>
  <c r="BC8" i="15"/>
  <c r="BB18" i="15"/>
  <c r="BB19" i="15" s="1"/>
  <c r="BB10" i="15"/>
  <c r="BB20" i="15"/>
  <c r="BB25" i="15"/>
  <c r="BB64" i="15"/>
  <c r="BB69" i="15"/>
  <c r="BB101" i="15"/>
  <c r="BB52" i="15"/>
  <c r="BB78" i="15"/>
  <c r="BB79" i="15" s="1"/>
  <c r="BB80" i="15" s="1"/>
  <c r="BB98" i="15" s="1"/>
  <c r="BB49" i="15"/>
  <c r="BB100" i="15"/>
  <c r="BB68" i="15"/>
  <c r="BB57" i="15"/>
  <c r="BB59" i="15" s="1"/>
  <c r="BB71" i="2"/>
  <c r="BB97" i="2" s="1"/>
  <c r="BD8" i="2"/>
  <c r="BC10" i="2"/>
  <c r="BC20" i="2"/>
  <c r="BC25" i="2"/>
  <c r="BC18" i="2"/>
  <c r="BC64" i="2"/>
  <c r="BC52" i="2"/>
  <c r="BC69" i="2"/>
  <c r="BC101" i="2"/>
  <c r="BC57" i="2"/>
  <c r="BC59" i="2" s="1"/>
  <c r="BC100" i="2"/>
  <c r="BC49" i="2"/>
  <c r="BC68" i="2"/>
  <c r="BC78" i="2"/>
  <c r="BC79" i="2" s="1"/>
  <c r="BC80" i="2" s="1"/>
  <c r="BC98" i="2" s="1"/>
  <c r="AX30" i="2"/>
  <c r="AX72" i="2"/>
  <c r="AX31" i="2" s="1"/>
  <c r="AX87" i="2" s="1"/>
  <c r="AY65" i="2"/>
  <c r="AX99" i="2"/>
  <c r="AW86" i="2"/>
  <c r="AW32" i="2"/>
  <c r="BA9" i="2"/>
  <c r="BB7" i="2"/>
  <c r="AV86" i="15"/>
  <c r="AV32" i="15"/>
  <c r="BD7" i="15"/>
  <c r="BC9" i="15"/>
  <c r="AW72" i="15"/>
  <c r="AW31" i="15" s="1"/>
  <c r="AW87" i="15" s="1"/>
  <c r="AX65" i="15"/>
  <c r="AW30" i="15"/>
  <c r="AW99" i="15"/>
  <c r="BB71" i="15" l="1"/>
  <c r="BB97" i="15" s="1"/>
  <c r="BC18" i="15"/>
  <c r="BC19" i="15" s="1"/>
  <c r="BD8" i="15"/>
  <c r="BC10" i="15"/>
  <c r="BC20" i="15"/>
  <c r="BC25" i="15"/>
  <c r="BC64" i="15"/>
  <c r="BC49" i="15"/>
  <c r="BC100" i="15"/>
  <c r="BC52" i="15"/>
  <c r="BC68" i="15"/>
  <c r="BC57" i="15"/>
  <c r="BC59" i="15" s="1"/>
  <c r="BC101" i="15"/>
  <c r="BC78" i="15"/>
  <c r="BC79" i="15" s="1"/>
  <c r="BC80" i="15" s="1"/>
  <c r="BC98" i="15" s="1"/>
  <c r="BC69" i="15"/>
  <c r="BC71" i="2"/>
  <c r="BC97" i="2" s="1"/>
  <c r="BD10" i="2"/>
  <c r="BE8" i="2"/>
  <c r="BD25" i="2"/>
  <c r="BD20" i="2"/>
  <c r="BD18" i="2"/>
  <c r="BD64" i="2"/>
  <c r="BD52" i="2"/>
  <c r="BD68" i="2"/>
  <c r="BD71" i="2" s="1"/>
  <c r="BD97" i="2" s="1"/>
  <c r="BD49" i="2"/>
  <c r="BD78" i="2"/>
  <c r="BD79" i="2" s="1"/>
  <c r="BD80" i="2" s="1"/>
  <c r="BD98" i="2" s="1"/>
  <c r="BD100" i="2"/>
  <c r="BD69" i="2"/>
  <c r="BD101" i="2"/>
  <c r="BD57" i="2"/>
  <c r="BD59" i="2" s="1"/>
  <c r="AW32" i="15"/>
  <c r="AW86" i="15"/>
  <c r="AX30" i="15"/>
  <c r="AX99" i="15"/>
  <c r="AX72" i="15"/>
  <c r="AX31" i="15" s="1"/>
  <c r="AX87" i="15" s="1"/>
  <c r="AY65" i="15"/>
  <c r="BE7" i="15"/>
  <c r="BD9" i="15"/>
  <c r="AY30" i="2"/>
  <c r="AY72" i="2"/>
  <c r="AY31" i="2" s="1"/>
  <c r="AY87" i="2" s="1"/>
  <c r="AY99" i="2"/>
  <c r="AZ65" i="2"/>
  <c r="BB9" i="2"/>
  <c r="BC7" i="2"/>
  <c r="AX32" i="2"/>
  <c r="AX86" i="2"/>
  <c r="BD18" i="15" l="1"/>
  <c r="BD19" i="15" s="1"/>
  <c r="BD10" i="15"/>
  <c r="BE8" i="15"/>
  <c r="BD25" i="15"/>
  <c r="BD20" i="15"/>
  <c r="BD64" i="15"/>
  <c r="BD49" i="15"/>
  <c r="BD69" i="15"/>
  <c r="BD52" i="15"/>
  <c r="BD78" i="15"/>
  <c r="BD79" i="15" s="1"/>
  <c r="BD80" i="15" s="1"/>
  <c r="BD98" i="15" s="1"/>
  <c r="BD68" i="15"/>
  <c r="BD100" i="15"/>
  <c r="BD57" i="15"/>
  <c r="BD59" i="15" s="1"/>
  <c r="BD101" i="15"/>
  <c r="BC71" i="15"/>
  <c r="BC97" i="15" s="1"/>
  <c r="BF8" i="2"/>
  <c r="BE10" i="2"/>
  <c r="BE20" i="2"/>
  <c r="BE25" i="2"/>
  <c r="BE18" i="2"/>
  <c r="BE64" i="2"/>
  <c r="BE52" i="2"/>
  <c r="BE101" i="2"/>
  <c r="BE68" i="2"/>
  <c r="BE57" i="2"/>
  <c r="BE59" i="2" s="1"/>
  <c r="BE100" i="2"/>
  <c r="BE69" i="2"/>
  <c r="BE78" i="2"/>
  <c r="BE79" i="2" s="1"/>
  <c r="BE80" i="2" s="1"/>
  <c r="BE98" i="2" s="1"/>
  <c r="BE49" i="2"/>
  <c r="BE9" i="15"/>
  <c r="BF7" i="15"/>
  <c r="BD7" i="2"/>
  <c r="BC9" i="2"/>
  <c r="AZ30" i="2"/>
  <c r="AZ72" i="2"/>
  <c r="AZ31" i="2" s="1"/>
  <c r="AZ87" i="2" s="1"/>
  <c r="BA65" i="2"/>
  <c r="AZ99" i="2"/>
  <c r="AX86" i="15"/>
  <c r="AX32" i="15"/>
  <c r="AY86" i="2"/>
  <c r="AY32" i="2"/>
  <c r="AZ65" i="15"/>
  <c r="AY99" i="15"/>
  <c r="AY30" i="15"/>
  <c r="AY72" i="15"/>
  <c r="AY31" i="15" s="1"/>
  <c r="AY87" i="15" s="1"/>
  <c r="BE18" i="15" l="1"/>
  <c r="BE19" i="15" s="1"/>
  <c r="BE10" i="15"/>
  <c r="BF8" i="15"/>
  <c r="BE25" i="15"/>
  <c r="BE20" i="15"/>
  <c r="BE64" i="15"/>
  <c r="BE101" i="15"/>
  <c r="BE78" i="15"/>
  <c r="BE79" i="15" s="1"/>
  <c r="BE80" i="15" s="1"/>
  <c r="BE98" i="15" s="1"/>
  <c r="BE69" i="15"/>
  <c r="BE68" i="15"/>
  <c r="BE71" i="15" s="1"/>
  <c r="BE97" i="15" s="1"/>
  <c r="BE57" i="15"/>
  <c r="BE59" i="15" s="1"/>
  <c r="BE49" i="15"/>
  <c r="BE100" i="15"/>
  <c r="BE52" i="15"/>
  <c r="BD71" i="15"/>
  <c r="BD97" i="15" s="1"/>
  <c r="BE71" i="2"/>
  <c r="BE97" i="2" s="1"/>
  <c r="BF10" i="2"/>
  <c r="BG8" i="2"/>
  <c r="BF25" i="2"/>
  <c r="BF20" i="2"/>
  <c r="BF18" i="2"/>
  <c r="BF64" i="2"/>
  <c r="BF100" i="2"/>
  <c r="BF101" i="2"/>
  <c r="BF78" i="2"/>
  <c r="BF79" i="2" s="1"/>
  <c r="BF80" i="2" s="1"/>
  <c r="BF98" i="2" s="1"/>
  <c r="BF52" i="2"/>
  <c r="BF69" i="2"/>
  <c r="BF68" i="2"/>
  <c r="BF71" i="2" s="1"/>
  <c r="BF97" i="2" s="1"/>
  <c r="BF49" i="2"/>
  <c r="BF57" i="2"/>
  <c r="BF59" i="2" s="1"/>
  <c r="AY86" i="15"/>
  <c r="AY32" i="15"/>
  <c r="BB65" i="2"/>
  <c r="BA30" i="2"/>
  <c r="BA72" i="2"/>
  <c r="BA31" i="2" s="1"/>
  <c r="BA87" i="2" s="1"/>
  <c r="BA99" i="2"/>
  <c r="AZ30" i="15"/>
  <c r="AZ99" i="15"/>
  <c r="AZ72" i="15"/>
  <c r="AZ31" i="15" s="1"/>
  <c r="AZ87" i="15" s="1"/>
  <c r="BA65" i="15"/>
  <c r="AZ86" i="2"/>
  <c r="AZ32" i="2"/>
  <c r="BE7" i="2"/>
  <c r="BD9" i="2"/>
  <c r="BG7" i="15"/>
  <c r="BF9" i="15"/>
  <c r="BF10" i="15" l="1"/>
  <c r="BG8" i="15"/>
  <c r="BF18" i="15"/>
  <c r="BF19" i="15" s="1"/>
  <c r="BF20" i="15"/>
  <c r="BF25" i="15"/>
  <c r="BF64" i="15"/>
  <c r="BF57" i="15"/>
  <c r="BF59" i="15" s="1"/>
  <c r="BF100" i="15"/>
  <c r="BF68" i="15"/>
  <c r="BF52" i="15"/>
  <c r="BF101" i="15"/>
  <c r="BF69" i="15"/>
  <c r="BF49" i="15"/>
  <c r="BF78" i="15"/>
  <c r="BF79" i="15" s="1"/>
  <c r="BF80" i="15" s="1"/>
  <c r="BF98" i="15" s="1"/>
  <c r="BH8" i="2"/>
  <c r="BG10" i="2"/>
  <c r="BG25" i="2"/>
  <c r="BG20" i="2"/>
  <c r="BG18" i="2"/>
  <c r="BG64" i="2"/>
  <c r="BG49" i="2"/>
  <c r="BG57" i="2"/>
  <c r="BG59" i="2" s="1"/>
  <c r="BG101" i="2"/>
  <c r="BG78" i="2"/>
  <c r="BG79" i="2" s="1"/>
  <c r="BG80" i="2" s="1"/>
  <c r="BG98" i="2" s="1"/>
  <c r="BG68" i="2"/>
  <c r="BG69" i="2"/>
  <c r="BG52" i="2"/>
  <c r="BG100" i="2"/>
  <c r="AZ86" i="15"/>
  <c r="AZ32" i="15"/>
  <c r="BE9" i="2"/>
  <c r="BF7" i="2"/>
  <c r="BA86" i="2"/>
  <c r="BA32" i="2"/>
  <c r="BB99" i="2"/>
  <c r="BB30" i="2"/>
  <c r="BB72" i="2"/>
  <c r="BB31" i="2" s="1"/>
  <c r="BB87" i="2" s="1"/>
  <c r="BC65" i="2"/>
  <c r="BH7" i="15"/>
  <c r="BG9" i="15"/>
  <c r="BA99" i="15"/>
  <c r="BA30" i="15"/>
  <c r="BA72" i="15"/>
  <c r="BA31" i="15" s="1"/>
  <c r="BA87" i="15" s="1"/>
  <c r="BB65" i="15"/>
  <c r="BG18" i="15" l="1"/>
  <c r="BG19" i="15" s="1"/>
  <c r="BH8" i="15"/>
  <c r="BG10" i="15"/>
  <c r="BG20" i="15"/>
  <c r="BG25" i="15"/>
  <c r="BG64" i="15"/>
  <c r="BG52" i="15"/>
  <c r="BG68" i="15"/>
  <c r="BG71" i="15" s="1"/>
  <c r="BG97" i="15" s="1"/>
  <c r="BG69" i="15"/>
  <c r="BG101" i="15"/>
  <c r="BG49" i="15"/>
  <c r="BG57" i="15"/>
  <c r="BG59" i="15" s="1"/>
  <c r="BG100" i="15"/>
  <c r="BG78" i="15"/>
  <c r="BG79" i="15" s="1"/>
  <c r="BG80" i="15" s="1"/>
  <c r="BG98" i="15" s="1"/>
  <c r="BF71" i="15"/>
  <c r="BF97" i="15" s="1"/>
  <c r="BG71" i="2"/>
  <c r="BG97" i="2" s="1"/>
  <c r="BH10" i="2"/>
  <c r="BI8" i="2"/>
  <c r="BH25" i="2"/>
  <c r="BH20" i="2"/>
  <c r="BH18" i="2"/>
  <c r="BH64" i="2"/>
  <c r="BH100" i="2"/>
  <c r="BH52" i="2"/>
  <c r="BH57" i="2"/>
  <c r="BH59" i="2" s="1"/>
  <c r="BH68" i="2"/>
  <c r="BH49" i="2"/>
  <c r="BH101" i="2"/>
  <c r="BH78" i="2"/>
  <c r="BH79" i="2" s="1"/>
  <c r="BH80" i="2" s="1"/>
  <c r="BH98" i="2" s="1"/>
  <c r="BH69" i="2"/>
  <c r="BA86" i="15"/>
  <c r="BA32" i="15"/>
  <c r="BB86" i="2"/>
  <c r="BB32" i="2"/>
  <c r="BH9" i="15"/>
  <c r="BI7" i="15"/>
  <c r="BG7" i="2"/>
  <c r="BF9" i="2"/>
  <c r="BC30" i="2"/>
  <c r="BD65" i="2"/>
  <c r="BC72" i="2"/>
  <c r="BC31" i="2" s="1"/>
  <c r="BC87" i="2" s="1"/>
  <c r="BB30" i="15"/>
  <c r="BB72" i="15"/>
  <c r="BB31" i="15" s="1"/>
  <c r="BB87" i="15" s="1"/>
  <c r="BB99" i="15"/>
  <c r="BC65" i="15"/>
  <c r="BH18" i="15" l="1"/>
  <c r="BH19" i="15" s="1"/>
  <c r="BH10" i="15"/>
  <c r="BI8" i="15"/>
  <c r="BH20" i="15"/>
  <c r="BH25" i="15"/>
  <c r="BH64" i="15"/>
  <c r="BH100" i="15"/>
  <c r="BH57" i="15"/>
  <c r="BH59" i="15" s="1"/>
  <c r="BH49" i="15"/>
  <c r="BH101" i="15"/>
  <c r="BH78" i="15"/>
  <c r="BH79" i="15" s="1"/>
  <c r="BH80" i="15" s="1"/>
  <c r="BH98" i="15" s="1"/>
  <c r="BH69" i="15"/>
  <c r="BH52" i="15"/>
  <c r="BH68" i="15"/>
  <c r="BH71" i="15" s="1"/>
  <c r="BH97" i="15" s="1"/>
  <c r="BH71" i="2"/>
  <c r="BH97" i="2" s="1"/>
  <c r="BJ8" i="2"/>
  <c r="BI10" i="2"/>
  <c r="BI20" i="2"/>
  <c r="BI25" i="2"/>
  <c r="BI18" i="2"/>
  <c r="BI64" i="2"/>
  <c r="BI78" i="2"/>
  <c r="BI79" i="2" s="1"/>
  <c r="BI80" i="2" s="1"/>
  <c r="BI98" i="2" s="1"/>
  <c r="BI52" i="2"/>
  <c r="BI100" i="2"/>
  <c r="BI68" i="2"/>
  <c r="BI69" i="2"/>
  <c r="BI49" i="2"/>
  <c r="BI57" i="2"/>
  <c r="BI59" i="2" s="1"/>
  <c r="BI101" i="2"/>
  <c r="BD65" i="15"/>
  <c r="BC30" i="15"/>
  <c r="BC72" i="15"/>
  <c r="BC31" i="15" s="1"/>
  <c r="BC87" i="15" s="1"/>
  <c r="BH7" i="2"/>
  <c r="BG9" i="2"/>
  <c r="BJ7" i="15"/>
  <c r="BI9" i="15"/>
  <c r="BD30" i="2"/>
  <c r="BE65" i="2"/>
  <c r="BD72" i="2"/>
  <c r="BD31" i="2" s="1"/>
  <c r="BD87" i="2" s="1"/>
  <c r="BC86" i="2"/>
  <c r="BC32" i="2"/>
  <c r="BB86" i="15"/>
  <c r="BB32" i="15"/>
  <c r="BJ8" i="15" l="1"/>
  <c r="BI18" i="15"/>
  <c r="BI19" i="15" s="1"/>
  <c r="BI10" i="15"/>
  <c r="BI20" i="15"/>
  <c r="BI25" i="15"/>
  <c r="BI64" i="15"/>
  <c r="BI57" i="15"/>
  <c r="BI59" i="15" s="1"/>
  <c r="BI101" i="15"/>
  <c r="BI68" i="15"/>
  <c r="BI69" i="15"/>
  <c r="BI78" i="15"/>
  <c r="BI79" i="15" s="1"/>
  <c r="BI80" i="15" s="1"/>
  <c r="BI98" i="15" s="1"/>
  <c r="BI100" i="15"/>
  <c r="BI52" i="15"/>
  <c r="BI49" i="15"/>
  <c r="BI71" i="2"/>
  <c r="BI97" i="2" s="1"/>
  <c r="BK8" i="2"/>
  <c r="BJ10" i="2"/>
  <c r="BJ25" i="2"/>
  <c r="BJ20" i="2"/>
  <c r="BJ18" i="2"/>
  <c r="BJ64" i="2"/>
  <c r="BJ52" i="2"/>
  <c r="BJ69" i="2"/>
  <c r="BJ57" i="2"/>
  <c r="BJ59" i="2" s="1"/>
  <c r="BJ78" i="2"/>
  <c r="BJ79" i="2" s="1"/>
  <c r="BJ80" i="2" s="1"/>
  <c r="BJ98" i="2" s="1"/>
  <c r="BJ100" i="2"/>
  <c r="BJ49" i="2"/>
  <c r="BJ101" i="2"/>
  <c r="BJ68" i="2"/>
  <c r="BD86" i="2"/>
  <c r="BD32" i="2"/>
  <c r="BJ9" i="15"/>
  <c r="BK7" i="15"/>
  <c r="BK9" i="15" s="1"/>
  <c r="BH9" i="2"/>
  <c r="BI7" i="2"/>
  <c r="BC86" i="15"/>
  <c r="BC32" i="15"/>
  <c r="BE30" i="2"/>
  <c r="BE72" i="2"/>
  <c r="BE31" i="2" s="1"/>
  <c r="BE87" i="2" s="1"/>
  <c r="BF65" i="2"/>
  <c r="BD72" i="15"/>
  <c r="BD31" i="15" s="1"/>
  <c r="BD87" i="15" s="1"/>
  <c r="BE65" i="15"/>
  <c r="BD30" i="15"/>
  <c r="BJ71" i="2" l="1"/>
  <c r="BJ97" i="2" s="1"/>
  <c r="BI71" i="15"/>
  <c r="BI97" i="15" s="1"/>
  <c r="BK8" i="15"/>
  <c r="BJ18" i="15"/>
  <c r="BJ19" i="15" s="1"/>
  <c r="BJ10" i="15"/>
  <c r="BJ20" i="15"/>
  <c r="BJ25" i="15"/>
  <c r="BJ64" i="15"/>
  <c r="BJ57" i="15"/>
  <c r="BJ59" i="15" s="1"/>
  <c r="BJ69" i="15"/>
  <c r="BJ100" i="15"/>
  <c r="BJ68" i="15"/>
  <c r="BJ52" i="15"/>
  <c r="BJ49" i="15"/>
  <c r="BJ101" i="15"/>
  <c r="BJ78" i="15"/>
  <c r="BJ79" i="15" s="1"/>
  <c r="BJ80" i="15" s="1"/>
  <c r="BJ98" i="15" s="1"/>
  <c r="BK10" i="2"/>
  <c r="BK20" i="2"/>
  <c r="B20" i="2" s="1"/>
  <c r="BK25" i="2"/>
  <c r="B25" i="2" s="1"/>
  <c r="BK18" i="2"/>
  <c r="BK64" i="2"/>
  <c r="BK57" i="2"/>
  <c r="BK59" i="2" s="1"/>
  <c r="BK49" i="2"/>
  <c r="BK52" i="2"/>
  <c r="BK78" i="2"/>
  <c r="BK79" i="2" s="1"/>
  <c r="BK80" i="2" s="1"/>
  <c r="BK98" i="2" s="1"/>
  <c r="BK100" i="2"/>
  <c r="BK101" i="2"/>
  <c r="BK68" i="2"/>
  <c r="BK69" i="2"/>
  <c r="BE30" i="15"/>
  <c r="BE72" i="15"/>
  <c r="BE31" i="15" s="1"/>
  <c r="BE87" i="15" s="1"/>
  <c r="BF65" i="15"/>
  <c r="BD32" i="15"/>
  <c r="BD86" i="15"/>
  <c r="BI9" i="2"/>
  <c r="BJ7" i="2"/>
  <c r="BG65" i="2"/>
  <c r="BF72" i="2"/>
  <c r="BF31" i="2" s="1"/>
  <c r="BF87" i="2" s="1"/>
  <c r="BF30" i="2"/>
  <c r="BE86" i="2"/>
  <c r="BE32" i="2"/>
  <c r="BJ71" i="15" l="1"/>
  <c r="BJ97" i="15" s="1"/>
  <c r="BK18" i="15"/>
  <c r="BK19" i="15" s="1"/>
  <c r="BK10" i="15"/>
  <c r="BK20" i="15"/>
  <c r="B20" i="15" s="1"/>
  <c r="BK25" i="15"/>
  <c r="B25" i="15" s="1"/>
  <c r="BK64" i="15"/>
  <c r="BK100" i="15"/>
  <c r="BK101" i="15"/>
  <c r="BK78" i="15"/>
  <c r="BK79" i="15" s="1"/>
  <c r="BK80" i="15" s="1"/>
  <c r="BK98" i="15" s="1"/>
  <c r="BK52" i="15"/>
  <c r="BK69" i="15"/>
  <c r="BK57" i="15"/>
  <c r="BK59" i="15" s="1"/>
  <c r="BK68" i="15"/>
  <c r="BK71" i="15" s="1"/>
  <c r="BK97" i="15" s="1"/>
  <c r="BK49" i="15"/>
  <c r="BK71" i="2"/>
  <c r="BK97" i="2" s="1"/>
  <c r="BK7" i="2"/>
  <c r="BK9" i="2" s="1"/>
  <c r="BJ9" i="2"/>
  <c r="BE86" i="15"/>
  <c r="BE32" i="15"/>
  <c r="BG72" i="2"/>
  <c r="BG31" i="2" s="1"/>
  <c r="BG87" i="2" s="1"/>
  <c r="BH65" i="2"/>
  <c r="BG30" i="2"/>
  <c r="BF86" i="2"/>
  <c r="BF32" i="2"/>
  <c r="BF30" i="15"/>
  <c r="BF72" i="15"/>
  <c r="BF31" i="15" s="1"/>
  <c r="BF87" i="15" s="1"/>
  <c r="BG65" i="15"/>
  <c r="BG86" i="2" l="1"/>
  <c r="BG32" i="2"/>
  <c r="BH72" i="2"/>
  <c r="BH31" i="2" s="1"/>
  <c r="BH87" i="2" s="1"/>
  <c r="BH30" i="2"/>
  <c r="BI65" i="2"/>
  <c r="BG30" i="15"/>
  <c r="BG72" i="15"/>
  <c r="BG31" i="15" s="1"/>
  <c r="BG87" i="15" s="1"/>
  <c r="BH65" i="15"/>
  <c r="BF86" i="15"/>
  <c r="BF32" i="15"/>
  <c r="BG86" i="15" l="1"/>
  <c r="BG32" i="15"/>
  <c r="BI72" i="2"/>
  <c r="BI31" i="2" s="1"/>
  <c r="BI87" i="2" s="1"/>
  <c r="BJ65" i="2"/>
  <c r="BI30" i="2"/>
  <c r="BH32" i="2"/>
  <c r="BH86" i="2"/>
  <c r="BH72" i="15"/>
  <c r="BH31" i="15" s="1"/>
  <c r="BH87" i="15" s="1"/>
  <c r="BI65" i="15"/>
  <c r="BH30" i="15"/>
  <c r="BI86" i="2" l="1"/>
  <c r="BI32" i="2"/>
  <c r="BJ30" i="2"/>
  <c r="BJ72" i="2"/>
  <c r="BJ31" i="2" s="1"/>
  <c r="BJ87" i="2" s="1"/>
  <c r="BK65" i="2"/>
  <c r="BH32" i="15"/>
  <c r="BH86" i="15"/>
  <c r="BI30" i="15"/>
  <c r="BJ65" i="15"/>
  <c r="BI72" i="15"/>
  <c r="BI31" i="15" s="1"/>
  <c r="BI87" i="15" s="1"/>
  <c r="BK30" i="2" l="1"/>
  <c r="BK72" i="2"/>
  <c r="BK31" i="2" s="1"/>
  <c r="BK87" i="2" s="1"/>
  <c r="BJ86" i="2"/>
  <c r="BJ32" i="2"/>
  <c r="BI32" i="15"/>
  <c r="BI86" i="15"/>
  <c r="BJ30" i="15"/>
  <c r="BK65" i="15"/>
  <c r="BJ72" i="15"/>
  <c r="BJ31" i="15" s="1"/>
  <c r="BJ87" i="15" s="1"/>
  <c r="BJ32" i="15" l="1"/>
  <c r="BJ86" i="15"/>
  <c r="BK32" i="2"/>
  <c r="BK86" i="2"/>
  <c r="BK72" i="15"/>
  <c r="BK31" i="15" s="1"/>
  <c r="BK87" i="15" s="1"/>
  <c r="BK30" i="15"/>
  <c r="BK32" i="15" l="1"/>
  <c r="BK86" i="15"/>
  <c r="AM72" i="2" l="1"/>
  <c r="AM31" i="2" s="1"/>
  <c r="AM32" i="2" s="1"/>
  <c r="AM99" i="2"/>
  <c r="AN100" i="2"/>
  <c r="AN101" i="2"/>
  <c r="AN100" i="15"/>
  <c r="AN101" i="15"/>
  <c r="AM87" i="2" l="1"/>
  <c r="AU72" i="15" l="1"/>
  <c r="AU31" i="15" s="1"/>
  <c r="AU32" i="15" s="1"/>
  <c r="AT72" i="15"/>
  <c r="AT31" i="15" s="1"/>
  <c r="AT32" i="15" s="1"/>
  <c r="AS99" i="15"/>
  <c r="AT99" i="15"/>
  <c r="AU99" i="15"/>
  <c r="AT87" i="15" l="1"/>
  <c r="AU87" i="15"/>
  <c r="AG100" i="15" l="1"/>
  <c r="AG101" i="15"/>
  <c r="T72" i="2"/>
  <c r="T31" i="2" s="1"/>
  <c r="T87" i="2" s="1"/>
  <c r="U72" i="2"/>
  <c r="U31" i="2" s="1"/>
  <c r="U87" i="2" s="1"/>
  <c r="AE99" i="2"/>
  <c r="AF99" i="2"/>
  <c r="T72" i="15"/>
  <c r="T31" i="15" s="1"/>
  <c r="T87" i="15" s="1"/>
  <c r="U72" i="15"/>
  <c r="U31" i="15" s="1"/>
  <c r="U87" i="15" s="1"/>
  <c r="AE99" i="15"/>
  <c r="AF99" i="15"/>
  <c r="AO100" i="15"/>
  <c r="AO101" i="15"/>
  <c r="V72" i="15"/>
  <c r="V31" i="15" s="1"/>
  <c r="W72" i="15"/>
  <c r="W31" i="15" s="1"/>
  <c r="W87" i="15" s="1"/>
  <c r="X72" i="15"/>
  <c r="X31" i="15" s="1"/>
  <c r="X87" i="15" s="1"/>
  <c r="Y72" i="15"/>
  <c r="Y31" i="15" s="1"/>
  <c r="Y87" i="15" s="1"/>
  <c r="Z72" i="15"/>
  <c r="Z31" i="15" s="1"/>
  <c r="Z87" i="15" s="1"/>
  <c r="AG99" i="15"/>
  <c r="AH99" i="15"/>
  <c r="AI99" i="15"/>
  <c r="AJ99" i="15"/>
  <c r="AK99" i="15"/>
  <c r="AL99" i="15"/>
  <c r="V87" i="15" l="1"/>
  <c r="AK100" i="2"/>
  <c r="AK101" i="2"/>
  <c r="K22" i="1" l="1"/>
  <c r="K25" i="1" s="1"/>
  <c r="J25" i="1" l="1"/>
  <c r="K28" i="1"/>
  <c r="J28" i="1" s="1"/>
  <c r="K27" i="1"/>
  <c r="J27" i="1" s="1"/>
  <c r="K26" i="1"/>
  <c r="J26" i="1" s="1"/>
  <c r="K29" i="1"/>
  <c r="J29" i="1" s="1"/>
  <c r="AI69" i="2" l="1"/>
  <c r="AI71" i="2" s="1"/>
  <c r="AH69" i="2"/>
  <c r="AH71" i="2" s="1"/>
  <c r="AI97" i="2" l="1"/>
  <c r="AH97" i="2"/>
  <c r="AS69" i="15"/>
  <c r="AS71" i="15" s="1"/>
  <c r="AQ69" i="15"/>
  <c r="AQ71" i="15" s="1"/>
  <c r="AN69" i="15"/>
  <c r="AN71" i="15" s="1"/>
  <c r="AO69" i="15"/>
  <c r="AO71" i="15" s="1"/>
  <c r="AR69" i="15"/>
  <c r="AR71" i="15" s="1"/>
  <c r="AP69" i="15"/>
  <c r="AP71" i="15" s="1"/>
  <c r="AS78" i="15" l="1"/>
  <c r="AP97" i="15"/>
  <c r="AO97" i="15"/>
  <c r="AR97" i="15"/>
  <c r="AQ97" i="15"/>
  <c r="AS72" i="15"/>
  <c r="AS31" i="15" s="1"/>
  <c r="AS97" i="15"/>
  <c r="AN97" i="15"/>
  <c r="AS32" i="15" l="1"/>
  <c r="AS87" i="15"/>
  <c r="AI78" i="2"/>
  <c r="AS79" i="15"/>
  <c r="AS80" i="15" s="1"/>
  <c r="AI79" i="2" l="1"/>
  <c r="AI80" i="2" s="1"/>
  <c r="AS98" i="15"/>
  <c r="AI98" i="2" l="1"/>
  <c r="AI100" i="2"/>
  <c r="AI101" i="2"/>
  <c r="AB30" i="15" l="1"/>
  <c r="AC30" i="15"/>
  <c r="AD30" i="15"/>
  <c r="AE30" i="15"/>
  <c r="AF30" i="15"/>
  <c r="AF86" i="15" s="1"/>
  <c r="AG30" i="15"/>
  <c r="AG86" i="15" s="1"/>
  <c r="AM49" i="15"/>
  <c r="AM99" i="15" s="1"/>
  <c r="AN49" i="15"/>
  <c r="AN99" i="15" s="1"/>
  <c r="AO49" i="15"/>
  <c r="AO99" i="15" s="1"/>
  <c r="AP49" i="15"/>
  <c r="AP99" i="15" s="1"/>
  <c r="AQ49" i="15"/>
  <c r="AQ99" i="15" s="1"/>
  <c r="AR49" i="15"/>
  <c r="AR99" i="15" s="1"/>
  <c r="AN52" i="15"/>
  <c r="AO52" i="15"/>
  <c r="AP52" i="15"/>
  <c r="AQ52" i="15"/>
  <c r="AR52" i="15"/>
  <c r="AS52" i="15"/>
  <c r="AN57" i="15"/>
  <c r="AO57" i="15"/>
  <c r="AO59" i="15" s="1"/>
  <c r="AP57" i="15"/>
  <c r="AP59" i="15" s="1"/>
  <c r="AQ57" i="15"/>
  <c r="AQ59" i="15" s="1"/>
  <c r="AR57" i="15"/>
  <c r="AR59" i="15" s="1"/>
  <c r="AS57" i="15"/>
  <c r="AS59" i="15" s="1"/>
  <c r="AO72" i="15"/>
  <c r="AO31" i="15" s="1"/>
  <c r="AO32" i="15" s="1"/>
  <c r="AP72" i="15"/>
  <c r="AP31" i="15" s="1"/>
  <c r="AP32" i="15" s="1"/>
  <c r="AQ72" i="15"/>
  <c r="AQ31" i="15" s="1"/>
  <c r="AQ32" i="15" s="1"/>
  <c r="AB86" i="15"/>
  <c r="AC86" i="15"/>
  <c r="AD86" i="15"/>
  <c r="AS100" i="15"/>
  <c r="AS101" i="15"/>
  <c r="AN72" i="15" l="1"/>
  <c r="AN31" i="15" s="1"/>
  <c r="AN32" i="15" s="1"/>
  <c r="AP87" i="15"/>
  <c r="AR72" i="15"/>
  <c r="AR31" i="15" s="1"/>
  <c r="AQ87" i="15"/>
  <c r="AO87" i="15"/>
  <c r="AN59" i="15"/>
  <c r="AE86" i="15"/>
  <c r="AN87" i="15" l="1"/>
  <c r="AR32" i="15"/>
  <c r="AR87" i="15"/>
  <c r="AA72" i="15"/>
  <c r="AA31" i="15" s="1"/>
  <c r="AA87" i="15" s="1"/>
  <c r="J30" i="1" l="1"/>
  <c r="K30" i="1" s="1"/>
  <c r="K44" i="1" l="1"/>
  <c r="K45" i="1"/>
  <c r="K75" i="1"/>
  <c r="J75" i="1" s="1"/>
  <c r="E40" i="1"/>
  <c r="V13" i="1" s="1"/>
  <c r="Q30" i="1"/>
  <c r="R30" i="1" s="1"/>
  <c r="R45" i="1" s="1"/>
  <c r="K46" i="1"/>
  <c r="U26" i="2" s="1"/>
  <c r="D34" i="14"/>
  <c r="R44" i="1" l="1"/>
  <c r="R46" i="1" s="1"/>
  <c r="R34" i="1"/>
  <c r="R75" i="1"/>
  <c r="D26" i="2"/>
  <c r="AJ26" i="2"/>
  <c r="AS26" i="2"/>
  <c r="AD26" i="2"/>
  <c r="AZ26" i="2"/>
  <c r="H26" i="2"/>
  <c r="O26" i="2"/>
  <c r="Q26" i="2"/>
  <c r="AH26" i="2"/>
  <c r="V26" i="2"/>
  <c r="AL26" i="2"/>
  <c r="W13" i="1"/>
  <c r="V17" i="1"/>
  <c r="AF26" i="2"/>
  <c r="J46" i="1"/>
  <c r="BB26" i="2"/>
  <c r="F26" i="2"/>
  <c r="AO26" i="2"/>
  <c r="E26" i="2"/>
  <c r="AE26" i="2"/>
  <c r="BD26" i="2"/>
  <c r="Z26" i="2"/>
  <c r="AB26" i="2"/>
  <c r="Q75" i="1"/>
  <c r="D51" i="14"/>
  <c r="BA26" i="2"/>
  <c r="AU26" i="2"/>
  <c r="B24" i="2"/>
  <c r="BJ26" i="2"/>
  <c r="AC26" i="2"/>
  <c r="AK26" i="2"/>
  <c r="BK26" i="2"/>
  <c r="AT26" i="2"/>
  <c r="AQ26" i="2"/>
  <c r="L26" i="2"/>
  <c r="Y26" i="2"/>
  <c r="W26" i="2"/>
  <c r="N26" i="2"/>
  <c r="BI26" i="2"/>
  <c r="AN26" i="2"/>
  <c r="BE26" i="2"/>
  <c r="AI26" i="2"/>
  <c r="AY26" i="2"/>
  <c r="AG26" i="2"/>
  <c r="P26" i="2"/>
  <c r="AM26" i="2"/>
  <c r="G26" i="2"/>
  <c r="S26" i="2"/>
  <c r="BG26" i="2"/>
  <c r="BF26" i="2"/>
  <c r="AV26" i="2"/>
  <c r="AA26" i="2"/>
  <c r="BH26" i="2"/>
  <c r="R26" i="2"/>
  <c r="AW26" i="2"/>
  <c r="BC26" i="2"/>
  <c r="AR26" i="2"/>
  <c r="AX26" i="2"/>
  <c r="I26" i="2"/>
  <c r="X26" i="2"/>
  <c r="M26" i="2"/>
  <c r="K76" i="1"/>
  <c r="D35" i="14" s="1"/>
  <c r="J26" i="2"/>
  <c r="AP26" i="2"/>
  <c r="K26" i="2"/>
  <c r="T26" i="2"/>
  <c r="C26" i="2"/>
  <c r="BG26" i="15" l="1"/>
  <c r="BH26" i="15"/>
  <c r="W26" i="15"/>
  <c r="AN26" i="15"/>
  <c r="J26" i="15"/>
  <c r="AG26" i="15"/>
  <c r="I26" i="15"/>
  <c r="AI26" i="15"/>
  <c r="E26" i="15"/>
  <c r="S26" i="15"/>
  <c r="K26" i="15"/>
  <c r="U26" i="15"/>
  <c r="BI26" i="15"/>
  <c r="N26" i="15"/>
  <c r="BE26" i="15"/>
  <c r="AS26" i="15"/>
  <c r="AM26" i="15"/>
  <c r="B24" i="15"/>
  <c r="Q46" i="1"/>
  <c r="Y26" i="15"/>
  <c r="BC26" i="15"/>
  <c r="AV26" i="15"/>
  <c r="AY26" i="15"/>
  <c r="AD26" i="15"/>
  <c r="V26" i="15"/>
  <c r="AQ26" i="15"/>
  <c r="F26" i="15"/>
  <c r="R76" i="1"/>
  <c r="D52" i="14" s="1"/>
  <c r="G26" i="15"/>
  <c r="AL26" i="15"/>
  <c r="BJ26" i="15"/>
  <c r="R26" i="15"/>
  <c r="M26" i="15"/>
  <c r="BA26" i="15"/>
  <c r="AR26" i="15"/>
  <c r="AC26" i="15"/>
  <c r="AB26" i="15"/>
  <c r="BB26" i="15"/>
  <c r="AK26" i="15"/>
  <c r="D26" i="15"/>
  <c r="AO26" i="15"/>
  <c r="AZ26" i="15"/>
  <c r="BK26" i="15"/>
  <c r="AH26" i="15"/>
  <c r="Z26" i="15"/>
  <c r="AT26" i="15"/>
  <c r="AP26" i="15"/>
  <c r="AF26" i="15"/>
  <c r="AX26" i="15"/>
  <c r="P26" i="15"/>
  <c r="AW26" i="15"/>
  <c r="O26" i="15"/>
  <c r="BF26" i="15"/>
  <c r="Q26" i="15"/>
  <c r="T26" i="15"/>
  <c r="L26" i="15"/>
  <c r="AE26" i="15"/>
  <c r="C26" i="15"/>
  <c r="AU26" i="15"/>
  <c r="AA26" i="15"/>
  <c r="H26" i="15"/>
  <c r="X26" i="15"/>
  <c r="AJ26" i="15"/>
  <c r="BD26" i="15"/>
  <c r="BE21" i="15"/>
  <c r="BE22" i="15" s="1"/>
  <c r="BJ21" i="15"/>
  <c r="BJ22" i="15" s="1"/>
  <c r="AM21" i="15"/>
  <c r="AM22" i="15" s="1"/>
  <c r="AG21" i="15"/>
  <c r="AG22" i="15" s="1"/>
  <c r="AL21" i="15"/>
  <c r="AL22" i="15" s="1"/>
  <c r="Y21" i="15"/>
  <c r="Y22" i="15" s="1"/>
  <c r="AO21" i="15"/>
  <c r="AO22" i="15" s="1"/>
  <c r="AN21" i="15"/>
  <c r="AN22" i="15" s="1"/>
  <c r="AN34" i="15" s="1"/>
  <c r="AN88" i="15" s="1"/>
  <c r="AN89" i="15" s="1"/>
  <c r="AN36" i="16" s="1"/>
  <c r="AD21" i="15"/>
  <c r="AD22" i="15" s="1"/>
  <c r="M21" i="15"/>
  <c r="M22" i="15" s="1"/>
  <c r="E21" i="15"/>
  <c r="E22" i="15" s="1"/>
  <c r="AU21" i="15"/>
  <c r="AU22" i="15" s="1"/>
  <c r="AU34" i="15" s="1"/>
  <c r="AU88" i="15" s="1"/>
  <c r="AU89" i="15" s="1"/>
  <c r="AU36" i="16" s="1"/>
  <c r="U21" i="15"/>
  <c r="U22" i="15" s="1"/>
  <c r="L21" i="15"/>
  <c r="L22" i="15" s="1"/>
  <c r="BA21" i="15"/>
  <c r="BA22" i="15" s="1"/>
  <c r="AW21" i="15"/>
  <c r="AW22" i="15" s="1"/>
  <c r="AW34" i="15" s="1"/>
  <c r="AW88" i="15" s="1"/>
  <c r="AW89" i="15" s="1"/>
  <c r="AW36" i="16" s="1"/>
  <c r="Q21" i="15"/>
  <c r="Q22" i="15" s="1"/>
  <c r="AX21" i="15"/>
  <c r="AX22" i="15" s="1"/>
  <c r="AX34" i="15" s="1"/>
  <c r="AX88" i="15" s="1"/>
  <c r="AX89" i="15" s="1"/>
  <c r="AX36" i="16" s="1"/>
  <c r="AV21" i="15"/>
  <c r="AV22" i="15" s="1"/>
  <c r="S21" i="15"/>
  <c r="S22" i="15" s="1"/>
  <c r="Z21" i="15"/>
  <c r="Z22" i="15" s="1"/>
  <c r="H21" i="15"/>
  <c r="H22" i="15" s="1"/>
  <c r="D21" i="15"/>
  <c r="D22" i="15" s="1"/>
  <c r="V21" i="15"/>
  <c r="V22" i="15" s="1"/>
  <c r="I21" i="15"/>
  <c r="I22" i="15" s="1"/>
  <c r="AZ21" i="15"/>
  <c r="AZ22" i="15" s="1"/>
  <c r="AZ34" i="15" s="1"/>
  <c r="AZ88" i="15" s="1"/>
  <c r="AZ89" i="15" s="1"/>
  <c r="AZ36" i="16" s="1"/>
  <c r="F21" i="15"/>
  <c r="F22" i="15" s="1"/>
  <c r="BG21" i="15"/>
  <c r="BG22" i="15" s="1"/>
  <c r="BH21" i="15"/>
  <c r="BH22" i="15" s="1"/>
  <c r="AJ21" i="15"/>
  <c r="AJ22" i="15" s="1"/>
  <c r="P21" i="15"/>
  <c r="P22" i="15" s="1"/>
  <c r="BC21" i="15"/>
  <c r="BC22" i="15" s="1"/>
  <c r="BC34" i="15" s="1"/>
  <c r="BC88" i="15" s="1"/>
  <c r="BC89" i="15" s="1"/>
  <c r="BC36" i="16" s="1"/>
  <c r="AR21" i="15"/>
  <c r="AR22" i="15" s="1"/>
  <c r="T21" i="15"/>
  <c r="T22" i="15" s="1"/>
  <c r="BB21" i="15"/>
  <c r="BB22" i="15" s="1"/>
  <c r="BI21" i="15"/>
  <c r="BI22" i="15" s="1"/>
  <c r="AY21" i="15"/>
  <c r="AY22" i="15" s="1"/>
  <c r="AA21" i="15"/>
  <c r="AA22" i="15" s="1"/>
  <c r="K21" i="15"/>
  <c r="K22" i="15" s="1"/>
  <c r="BD21" i="15"/>
  <c r="BD22" i="15" s="1"/>
  <c r="BD34" i="15" s="1"/>
  <c r="BD88" i="15" s="1"/>
  <c r="BD89" i="15" s="1"/>
  <c r="BD36" i="16" s="1"/>
  <c r="AB21" i="15"/>
  <c r="AB22" i="15" s="1"/>
  <c r="R21" i="15"/>
  <c r="R22" i="15" s="1"/>
  <c r="AS21" i="15"/>
  <c r="AS22" i="15" s="1"/>
  <c r="AI21" i="15"/>
  <c r="AI22" i="15" s="1"/>
  <c r="W21" i="15"/>
  <c r="W22" i="15" s="1"/>
  <c r="C21" i="15"/>
  <c r="C22" i="15" s="1"/>
  <c r="R35" i="1"/>
  <c r="Q33" i="1" s="1"/>
  <c r="Q34" i="1" s="1"/>
  <c r="N21" i="15"/>
  <c r="N22" i="15" s="1"/>
  <c r="J21" i="15"/>
  <c r="J22" i="15" s="1"/>
  <c r="AE21" i="15"/>
  <c r="AE22" i="15" s="1"/>
  <c r="AK21" i="15"/>
  <c r="AK22" i="15" s="1"/>
  <c r="BK21" i="15"/>
  <c r="BK22" i="15" s="1"/>
  <c r="BK34" i="15" s="1"/>
  <c r="BK88" i="15" s="1"/>
  <c r="BK89" i="15" s="1"/>
  <c r="AH21" i="15"/>
  <c r="AH22" i="15" s="1"/>
  <c r="AC21" i="15"/>
  <c r="AC22" i="15" s="1"/>
  <c r="O21" i="15"/>
  <c r="O22" i="15" s="1"/>
  <c r="BF21" i="15"/>
  <c r="BF22" i="15" s="1"/>
  <c r="BF34" i="15" s="1"/>
  <c r="BF88" i="15" s="1"/>
  <c r="BF89" i="15" s="1"/>
  <c r="BF36" i="16" s="1"/>
  <c r="AF21" i="15"/>
  <c r="AF22" i="15" s="1"/>
  <c r="AP21" i="15"/>
  <c r="AP22" i="15" s="1"/>
  <c r="X21" i="15"/>
  <c r="X22" i="15" s="1"/>
  <c r="AT21" i="15"/>
  <c r="AT22" i="15" s="1"/>
  <c r="AQ21" i="15"/>
  <c r="AQ22" i="15" s="1"/>
  <c r="G21" i="15"/>
  <c r="G22" i="15" s="1"/>
  <c r="BH34" i="15"/>
  <c r="BH88" i="15" s="1"/>
  <c r="BH89" i="15" s="1"/>
  <c r="BH36" i="16" s="1"/>
  <c r="BG34" i="15"/>
  <c r="BG88" i="15" s="1"/>
  <c r="BG89" i="15" s="1"/>
  <c r="BG36" i="16" s="1"/>
  <c r="J76" i="1"/>
  <c r="B26" i="2"/>
  <c r="E69" i="15"/>
  <c r="E71" i="15" s="1"/>
  <c r="E97" i="15" s="1"/>
  <c r="N69" i="2"/>
  <c r="N71" i="2" s="1"/>
  <c r="N97" i="2" s="1"/>
  <c r="G69" i="2"/>
  <c r="G71" i="2" s="1"/>
  <c r="G97" i="2" s="1"/>
  <c r="G69" i="15"/>
  <c r="G71" i="15" s="1"/>
  <c r="G97" i="15" s="1"/>
  <c r="J69" i="2"/>
  <c r="J71" i="2" s="1"/>
  <c r="J97" i="2" s="1"/>
  <c r="L69" i="2"/>
  <c r="L71" i="2" s="1"/>
  <c r="L97" i="2" s="1"/>
  <c r="L69" i="15"/>
  <c r="L71" i="15" s="1"/>
  <c r="L97" i="15" s="1"/>
  <c r="F69" i="2"/>
  <c r="F71" i="2" s="1"/>
  <c r="F97" i="2" s="1"/>
  <c r="H69" i="15"/>
  <c r="H71" i="15" s="1"/>
  <c r="H97" i="15" s="1"/>
  <c r="D69" i="15"/>
  <c r="D71" i="15" s="1"/>
  <c r="D97" i="15" s="1"/>
  <c r="V19" i="1"/>
  <c r="K69" i="2"/>
  <c r="K71" i="2" s="1"/>
  <c r="K97" i="2" s="1"/>
  <c r="N69" i="15"/>
  <c r="N71" i="15" s="1"/>
  <c r="N97" i="15" s="1"/>
  <c r="I69" i="2"/>
  <c r="I71" i="2" s="1"/>
  <c r="I97" i="2" s="1"/>
  <c r="H69" i="2"/>
  <c r="H71" i="2" s="1"/>
  <c r="H97" i="2" s="1"/>
  <c r="J69" i="15"/>
  <c r="J71" i="15" s="1"/>
  <c r="J97" i="15" s="1"/>
  <c r="F69" i="15"/>
  <c r="F71" i="15" s="1"/>
  <c r="F97" i="15" s="1"/>
  <c r="M69" i="2"/>
  <c r="M71" i="2" s="1"/>
  <c r="M97" i="2" s="1"/>
  <c r="D69" i="2"/>
  <c r="D71" i="2" s="1"/>
  <c r="D97" i="2" s="1"/>
  <c r="O69" i="15"/>
  <c r="O71" i="15" s="1"/>
  <c r="O97" i="15" s="1"/>
  <c r="K69" i="15"/>
  <c r="K71" i="15" s="1"/>
  <c r="K97" i="15" s="1"/>
  <c r="O69" i="2"/>
  <c r="O71" i="2" s="1"/>
  <c r="O97" i="2" s="1"/>
  <c r="C69" i="2"/>
  <c r="C71" i="2" s="1"/>
  <c r="C97" i="2" s="1"/>
  <c r="I69" i="15"/>
  <c r="I71" i="15" s="1"/>
  <c r="I97" i="15" s="1"/>
  <c r="M69" i="15"/>
  <c r="M71" i="15" s="1"/>
  <c r="M97" i="15" s="1"/>
  <c r="C69" i="15"/>
  <c r="C71" i="15" s="1"/>
  <c r="C97" i="15" s="1"/>
  <c r="E69" i="2"/>
  <c r="E71" i="2" s="1"/>
  <c r="E97" i="2" s="1"/>
  <c r="W17" i="1"/>
  <c r="X13" i="1"/>
  <c r="Q76" i="1"/>
  <c r="BI34" i="15" l="1"/>
  <c r="BI88" i="15" s="1"/>
  <c r="BI89" i="15" s="1"/>
  <c r="BI36" i="16" s="1"/>
  <c r="AR34" i="15"/>
  <c r="AR88" i="15" s="1"/>
  <c r="AR89" i="15" s="1"/>
  <c r="AR36" i="16" s="1"/>
  <c r="AT34" i="15"/>
  <c r="AT88" i="15" s="1"/>
  <c r="AT89" i="15" s="1"/>
  <c r="AT36" i="16" s="1"/>
  <c r="BB34" i="15"/>
  <c r="BB88" i="15" s="1"/>
  <c r="BB89" i="15" s="1"/>
  <c r="BB36" i="16" s="1"/>
  <c r="AV34" i="15"/>
  <c r="AV88" i="15" s="1"/>
  <c r="AV89" i="15" s="1"/>
  <c r="AV36" i="16" s="1"/>
  <c r="B26" i="15"/>
  <c r="BA34" i="15"/>
  <c r="BA88" i="15" s="1"/>
  <c r="BA89" i="15" s="1"/>
  <c r="BA36" i="16" s="1"/>
  <c r="AO34" i="15"/>
  <c r="AQ34" i="15"/>
  <c r="AQ88" i="15" s="1"/>
  <c r="AQ89" i="15" s="1"/>
  <c r="AQ36" i="16" s="1"/>
  <c r="AY34" i="15"/>
  <c r="AY88" i="15" s="1"/>
  <c r="AY89" i="15" s="1"/>
  <c r="AY36" i="16" s="1"/>
  <c r="AS34" i="15"/>
  <c r="AS88" i="15" s="1"/>
  <c r="AS89" i="15" s="1"/>
  <c r="AS36" i="16" s="1"/>
  <c r="AP34" i="15"/>
  <c r="AP88" i="15" s="1"/>
  <c r="AP89" i="15" s="1"/>
  <c r="AP36" i="16" s="1"/>
  <c r="BJ34" i="15"/>
  <c r="BJ88" i="15" s="1"/>
  <c r="BJ89" i="15" s="1"/>
  <c r="BJ36" i="16" s="1"/>
  <c r="BE34" i="15"/>
  <c r="BE88" i="15" s="1"/>
  <c r="BE89" i="15" s="1"/>
  <c r="BE36" i="16" s="1"/>
  <c r="AO88" i="15"/>
  <c r="AO89" i="15" s="1"/>
  <c r="AO36" i="16" s="1"/>
  <c r="AO6" i="16"/>
  <c r="B22" i="15"/>
  <c r="AN6" i="16"/>
  <c r="Y13" i="1"/>
  <c r="X17" i="1"/>
  <c r="S69" i="15"/>
  <c r="S71" i="15" s="1"/>
  <c r="S97" i="15" s="1"/>
  <c r="Q69" i="2"/>
  <c r="Q71" i="2" s="1"/>
  <c r="Q97" i="2" s="1"/>
  <c r="P69" i="15"/>
  <c r="P71" i="15" s="1"/>
  <c r="P97" i="15" s="1"/>
  <c r="U69" i="2"/>
  <c r="U71" i="2" s="1"/>
  <c r="U97" i="2" s="1"/>
  <c r="Z69" i="15"/>
  <c r="Z71" i="15" s="1"/>
  <c r="Z97" i="15" s="1"/>
  <c r="W19" i="1"/>
  <c r="R69" i="2"/>
  <c r="R71" i="2" s="1"/>
  <c r="R97" i="2" s="1"/>
  <c r="V69" i="2"/>
  <c r="V71" i="2" s="1"/>
  <c r="V97" i="2" s="1"/>
  <c r="P69" i="2"/>
  <c r="P71" i="2" s="1"/>
  <c r="P97" i="2" s="1"/>
  <c r="T69" i="15"/>
  <c r="T71" i="15" s="1"/>
  <c r="T97" i="15" s="1"/>
  <c r="W69" i="2"/>
  <c r="W71" i="2" s="1"/>
  <c r="W97" i="2" s="1"/>
  <c r="V69" i="15"/>
  <c r="V71" i="15" s="1"/>
  <c r="V97" i="15" s="1"/>
  <c r="Z69" i="2"/>
  <c r="Z71" i="2" s="1"/>
  <c r="Z97" i="2" s="1"/>
  <c r="S69" i="2"/>
  <c r="S71" i="2" s="1"/>
  <c r="S97" i="2" s="1"/>
  <c r="AA69" i="2"/>
  <c r="AA71" i="2" s="1"/>
  <c r="AA97" i="2" s="1"/>
  <c r="T69" i="2"/>
  <c r="T71" i="2" s="1"/>
  <c r="T97" i="2" s="1"/>
  <c r="R69" i="15"/>
  <c r="R71" i="15" s="1"/>
  <c r="R97" i="15" s="1"/>
  <c r="AA69" i="15"/>
  <c r="AA71" i="15" s="1"/>
  <c r="AA97" i="15" s="1"/>
  <c r="Y69" i="15"/>
  <c r="Y71" i="15" s="1"/>
  <c r="Y97" i="15" s="1"/>
  <c r="W69" i="15"/>
  <c r="W71" i="15" s="1"/>
  <c r="W97" i="15" s="1"/>
  <c r="Y69" i="2"/>
  <c r="Y71" i="2" s="1"/>
  <c r="Y97" i="2" s="1"/>
  <c r="U69" i="15"/>
  <c r="U71" i="15" s="1"/>
  <c r="U97" i="15" s="1"/>
  <c r="X69" i="15"/>
  <c r="X71" i="15" s="1"/>
  <c r="X97" i="15" s="1"/>
  <c r="Q69" i="15"/>
  <c r="Q71" i="15" s="1"/>
  <c r="Q97" i="15" s="1"/>
  <c r="X69" i="2"/>
  <c r="X71" i="2" s="1"/>
  <c r="X97" i="2" s="1"/>
  <c r="AB69" i="15" l="1"/>
  <c r="AB71" i="15" s="1"/>
  <c r="AB97" i="15" s="1"/>
  <c r="X19" i="1"/>
  <c r="AJ69" i="15"/>
  <c r="AJ71" i="15" s="1"/>
  <c r="AJ97" i="15" s="1"/>
  <c r="AM69" i="15"/>
  <c r="AM71" i="15" s="1"/>
  <c r="AL69" i="15"/>
  <c r="AL71" i="15" s="1"/>
  <c r="AL97" i="15" s="1"/>
  <c r="AF69" i="2"/>
  <c r="AF71" i="2" s="1"/>
  <c r="AF97" i="2" s="1"/>
  <c r="AE69" i="2"/>
  <c r="AE71" i="2" s="1"/>
  <c r="AE97" i="2" s="1"/>
  <c r="AK69" i="15"/>
  <c r="AK71" i="15" s="1"/>
  <c r="AK97" i="15" s="1"/>
  <c r="AG69" i="15"/>
  <c r="AG71" i="15" s="1"/>
  <c r="AG97" i="15" s="1"/>
  <c r="AD69" i="2"/>
  <c r="AD71" i="2" s="1"/>
  <c r="AD97" i="2" s="1"/>
  <c r="AB69" i="2"/>
  <c r="AB71" i="2" s="1"/>
  <c r="AB97" i="2" s="1"/>
  <c r="AF69" i="15"/>
  <c r="AF71" i="15" s="1"/>
  <c r="AF97" i="15" s="1"/>
  <c r="AG69" i="2"/>
  <c r="AG71" i="2" s="1"/>
  <c r="AH69" i="15"/>
  <c r="AH71" i="15" s="1"/>
  <c r="AH97" i="15" s="1"/>
  <c r="AC69" i="15"/>
  <c r="AC71" i="15" s="1"/>
  <c r="AC97" i="15" s="1"/>
  <c r="AI69" i="15"/>
  <c r="AI71" i="15" s="1"/>
  <c r="AI97" i="15" s="1"/>
  <c r="AC69" i="2"/>
  <c r="AC71" i="2" s="1"/>
  <c r="AC97" i="2" s="1"/>
  <c r="AD69" i="15"/>
  <c r="AD71" i="15" s="1"/>
  <c r="AD97" i="15" s="1"/>
  <c r="AE69" i="15"/>
  <c r="AE71" i="15" s="1"/>
  <c r="AE97" i="15" s="1"/>
  <c r="Y17" i="1"/>
  <c r="Y19" i="1" s="1"/>
  <c r="Z13" i="1"/>
  <c r="AA13" i="1" l="1"/>
  <c r="Z17" i="1"/>
  <c r="Z19" i="1" s="1"/>
  <c r="AG97" i="2"/>
  <c r="B77" i="2"/>
  <c r="B78" i="2" s="1"/>
  <c r="AM78" i="2" s="1"/>
  <c r="AM79" i="2" s="1"/>
  <c r="AM80" i="2" s="1"/>
  <c r="AM98" i="2" s="1"/>
  <c r="B77" i="15"/>
  <c r="B78" i="15" s="1"/>
  <c r="AM97" i="15"/>
  <c r="AM72" i="15"/>
  <c r="AM31" i="15" s="1"/>
  <c r="Q109" i="1"/>
  <c r="I109" i="1"/>
  <c r="P109" i="1"/>
  <c r="J109" i="1"/>
  <c r="AM87" i="15" l="1"/>
  <c r="AM32" i="15"/>
  <c r="AM34" i="15" s="1"/>
  <c r="AM6" i="16" s="1"/>
  <c r="Q112" i="1"/>
  <c r="D60" i="14" s="1"/>
  <c r="AM78" i="15"/>
  <c r="AG78" i="2"/>
  <c r="AG79" i="2" s="1"/>
  <c r="AG80" i="2" s="1"/>
  <c r="AG98" i="2" s="1"/>
  <c r="J112" i="1"/>
  <c r="D43" i="14" s="1"/>
  <c r="AB13" i="1"/>
  <c r="AA17" i="1"/>
  <c r="AA19" i="1" s="1"/>
  <c r="AM79" i="15" l="1"/>
  <c r="AM80" i="15" s="1"/>
  <c r="AB17" i="1"/>
  <c r="AB19" i="1" s="1"/>
  <c r="AC13" i="1"/>
  <c r="AD13" i="1" l="1"/>
  <c r="AC17" i="1"/>
  <c r="AC19" i="1" s="1"/>
  <c r="AM98" i="15"/>
  <c r="AM88" i="15"/>
  <c r="AM89" i="15" s="1"/>
  <c r="AM36" i="16" s="1"/>
  <c r="AD17" i="1" l="1"/>
  <c r="AD19" i="1" s="1"/>
  <c r="AE13" i="1"/>
  <c r="AE17" i="1" s="1"/>
  <c r="AE19" i="1" s="1"/>
  <c r="J33" i="1"/>
  <c r="J34" i="1"/>
  <c r="K34" i="1" s="1"/>
  <c r="K33" i="1"/>
  <c r="AK19" i="2" s="1"/>
  <c r="AI19" i="2" l="1"/>
  <c r="AQ19" i="2"/>
  <c r="AD19" i="2"/>
  <c r="AE19" i="2"/>
  <c r="BJ19" i="2"/>
  <c r="F19" i="2"/>
  <c r="BG19" i="2"/>
  <c r="D19" i="2"/>
  <c r="P19" i="2"/>
  <c r="AR19" i="2"/>
  <c r="S19" i="2"/>
  <c r="AZ19" i="2"/>
  <c r="X19" i="2"/>
  <c r="BC19" i="2"/>
  <c r="BB19" i="2"/>
  <c r="V19" i="2"/>
  <c r="AJ19" i="2"/>
  <c r="T19" i="2"/>
  <c r="AA19" i="2"/>
  <c r="BH19" i="2"/>
  <c r="AV19" i="2"/>
  <c r="AN19" i="2"/>
  <c r="AT19" i="2"/>
  <c r="J19" i="2"/>
  <c r="AX19" i="2"/>
  <c r="BF19" i="2"/>
  <c r="AP19" i="2"/>
  <c r="AM19" i="2"/>
  <c r="Y19" i="2"/>
  <c r="K19" i="2"/>
  <c r="AB19" i="2"/>
  <c r="AL19" i="2"/>
  <c r="AF19" i="2"/>
  <c r="Z19" i="2"/>
  <c r="O19" i="2"/>
  <c r="AO19" i="2"/>
  <c r="AU19" i="2"/>
  <c r="BD19" i="2"/>
  <c r="N19" i="2"/>
  <c r="BK19" i="2"/>
  <c r="R19" i="2"/>
  <c r="G19" i="2"/>
  <c r="E19" i="2"/>
  <c r="AY19" i="2"/>
  <c r="L19" i="2"/>
  <c r="H19" i="2"/>
  <c r="AH19" i="2"/>
  <c r="W19" i="2"/>
  <c r="BI19" i="2"/>
  <c r="BE21" i="2"/>
  <c r="AG21" i="2"/>
  <c r="Q21" i="2"/>
  <c r="U21" i="2"/>
  <c r="BK21" i="2"/>
  <c r="W21" i="2"/>
  <c r="H21" i="2"/>
  <c r="AR21" i="2"/>
  <c r="BG21" i="2"/>
  <c r="M21" i="2"/>
  <c r="BB21" i="2"/>
  <c r="AW21" i="2"/>
  <c r="I21" i="2"/>
  <c r="AP21" i="2"/>
  <c r="AF21" i="2"/>
  <c r="AT21" i="2"/>
  <c r="AI21" i="2"/>
  <c r="AI22" i="2" s="1"/>
  <c r="K21" i="2"/>
  <c r="K35" i="1"/>
  <c r="BF21" i="2"/>
  <c r="Y21" i="2"/>
  <c r="O21" i="2"/>
  <c r="O22" i="2" s="1"/>
  <c r="G21" i="2"/>
  <c r="AH21" i="2"/>
  <c r="AV21" i="2"/>
  <c r="L21" i="2"/>
  <c r="AJ21" i="2"/>
  <c r="AK21" i="2"/>
  <c r="AK22" i="2" s="1"/>
  <c r="C21" i="2"/>
  <c r="BI21" i="2"/>
  <c r="AU21" i="2"/>
  <c r="Z21" i="2"/>
  <c r="T21" i="2"/>
  <c r="T22" i="2" s="1"/>
  <c r="AL21" i="2"/>
  <c r="AY21" i="2"/>
  <c r="AY22" i="2" s="1"/>
  <c r="AY34" i="2" s="1"/>
  <c r="AY88" i="2" s="1"/>
  <c r="AY89" i="2" s="1"/>
  <c r="AY35" i="16" s="1"/>
  <c r="F21" i="2"/>
  <c r="AS21" i="2"/>
  <c r="V21" i="2"/>
  <c r="BC21" i="2"/>
  <c r="N21" i="2"/>
  <c r="R21" i="2"/>
  <c r="R22" i="2" s="1"/>
  <c r="X21" i="2"/>
  <c r="BH21" i="2"/>
  <c r="BH22" i="2" s="1"/>
  <c r="BH34" i="2" s="1"/>
  <c r="BH88" i="2" s="1"/>
  <c r="BH89" i="2" s="1"/>
  <c r="BH35" i="16" s="1"/>
  <c r="AB21" i="2"/>
  <c r="AA21" i="2"/>
  <c r="AA22" i="2" s="1"/>
  <c r="AD21" i="2"/>
  <c r="AD22" i="2" s="1"/>
  <c r="AE21" i="2"/>
  <c r="AE22" i="2" s="1"/>
  <c r="BA21" i="2"/>
  <c r="E21" i="2"/>
  <c r="J21" i="2"/>
  <c r="BJ21" i="2"/>
  <c r="AX21" i="2"/>
  <c r="S21" i="2"/>
  <c r="S22" i="2" s="1"/>
  <c r="AO21" i="2"/>
  <c r="AC21" i="2"/>
  <c r="AM21" i="2"/>
  <c r="AN21" i="2"/>
  <c r="P21" i="2"/>
  <c r="AZ21" i="2"/>
  <c r="AZ22" i="2" s="1"/>
  <c r="AZ34" i="2" s="1"/>
  <c r="AZ88" i="2" s="1"/>
  <c r="AZ89" i="2" s="1"/>
  <c r="AZ35" i="16" s="1"/>
  <c r="D21" i="2"/>
  <c r="AQ21" i="2"/>
  <c r="BD21" i="2"/>
  <c r="BD22" i="2" s="1"/>
  <c r="BD34" i="2" s="1"/>
  <c r="BD88" i="2" s="1"/>
  <c r="BD89" i="2" s="1"/>
  <c r="BD35" i="16" s="1"/>
  <c r="I19" i="2"/>
  <c r="AW19" i="2"/>
  <c r="Q19" i="2"/>
  <c r="BE19" i="2"/>
  <c r="M19" i="2"/>
  <c r="M22" i="2" s="1"/>
  <c r="AC19" i="2"/>
  <c r="AS19" i="2"/>
  <c r="C19" i="2"/>
  <c r="AG19" i="2"/>
  <c r="AG22" i="2" s="1"/>
  <c r="BA19" i="2"/>
  <c r="U19" i="2"/>
  <c r="BJ22" i="2" l="1"/>
  <c r="BJ34" i="2" s="1"/>
  <c r="BJ88" i="2" s="1"/>
  <c r="BJ89" i="2" s="1"/>
  <c r="BJ35" i="16" s="1"/>
  <c r="X22" i="2"/>
  <c r="U22" i="2"/>
  <c r="E22" i="2"/>
  <c r="AV22" i="2"/>
  <c r="AV34" i="2" s="1"/>
  <c r="AV88" i="2" s="1"/>
  <c r="AV89" i="2" s="1"/>
  <c r="AV35" i="16" s="1"/>
  <c r="AW22" i="2"/>
  <c r="AW34" i="2" s="1"/>
  <c r="AW88" i="2" s="1"/>
  <c r="AW89" i="2" s="1"/>
  <c r="AW35" i="16" s="1"/>
  <c r="AM22" i="2"/>
  <c r="AM34" i="2" s="1"/>
  <c r="AM88" i="2" s="1"/>
  <c r="AM89" i="2" s="1"/>
  <c r="AM35" i="16" s="1"/>
  <c r="V22" i="2"/>
  <c r="F22" i="2"/>
  <c r="D22" i="2"/>
  <c r="J22" i="2"/>
  <c r="G22" i="2"/>
  <c r="AR22" i="2"/>
  <c r="AR34" i="2" s="1"/>
  <c r="AR88" i="2" s="1"/>
  <c r="AR89" i="2" s="1"/>
  <c r="AR35" i="16" s="1"/>
  <c r="BI22" i="2"/>
  <c r="BI34" i="2" s="1"/>
  <c r="BI88" i="2" s="1"/>
  <c r="BI89" i="2" s="1"/>
  <c r="BI35" i="16" s="1"/>
  <c r="AX22" i="2"/>
  <c r="AX34" i="2" s="1"/>
  <c r="AX88" i="2" s="1"/>
  <c r="AX89" i="2" s="1"/>
  <c r="AX35" i="16" s="1"/>
  <c r="BF22" i="2"/>
  <c r="BF34" i="2" s="1"/>
  <c r="BF88" i="2" s="1"/>
  <c r="BF89" i="2" s="1"/>
  <c r="BF35" i="16" s="1"/>
  <c r="AJ22" i="2"/>
  <c r="AQ22" i="2"/>
  <c r="AQ34" i="2" s="1"/>
  <c r="AQ88" i="2" s="1"/>
  <c r="AQ89" i="2" s="1"/>
  <c r="AQ35" i="16" s="1"/>
  <c r="N22" i="2"/>
  <c r="AH22" i="2"/>
  <c r="AT22" i="2"/>
  <c r="AT34" i="2" s="1"/>
  <c r="AT88" i="2" s="1"/>
  <c r="AT89" i="2" s="1"/>
  <c r="AT35" i="16" s="1"/>
  <c r="BC22" i="2"/>
  <c r="BC34" i="2" s="1"/>
  <c r="BC88" i="2" s="1"/>
  <c r="BC89" i="2" s="1"/>
  <c r="BC35" i="16" s="1"/>
  <c r="H22" i="2"/>
  <c r="AB22" i="2"/>
  <c r="BB22" i="2"/>
  <c r="BB34" i="2" s="1"/>
  <c r="BB88" i="2" s="1"/>
  <c r="BB89" i="2" s="1"/>
  <c r="BB35" i="16" s="1"/>
  <c r="C22" i="2"/>
  <c r="P22" i="2"/>
  <c r="AL22" i="2"/>
  <c r="L22" i="2"/>
  <c r="AS22" i="2"/>
  <c r="AS34" i="2" s="1"/>
  <c r="AN22" i="2"/>
  <c r="AN34" i="2" s="1"/>
  <c r="AN88" i="2" s="1"/>
  <c r="AN89" i="2" s="1"/>
  <c r="AN35" i="16" s="1"/>
  <c r="BG22" i="2"/>
  <c r="BG34" i="2" s="1"/>
  <c r="BG88" i="2" s="1"/>
  <c r="BG89" i="2" s="1"/>
  <c r="BG35" i="16" s="1"/>
  <c r="AU22" i="2"/>
  <c r="AU34" i="2" s="1"/>
  <c r="AU88" i="2" s="1"/>
  <c r="AU89" i="2" s="1"/>
  <c r="AU35" i="16" s="1"/>
  <c r="BA22" i="2"/>
  <c r="BA34" i="2" s="1"/>
  <c r="BA88" i="2" s="1"/>
  <c r="BA89" i="2" s="1"/>
  <c r="BA35" i="16" s="1"/>
  <c r="AP22" i="2"/>
  <c r="AP34" i="2" s="1"/>
  <c r="AP88" i="2" s="1"/>
  <c r="AP89" i="2" s="1"/>
  <c r="AP35" i="16" s="1"/>
  <c r="Y22" i="2"/>
  <c r="AC22" i="2"/>
  <c r="K22" i="2"/>
  <c r="AF22" i="2"/>
  <c r="AO22" i="2"/>
  <c r="AO34" i="2" s="1"/>
  <c r="AO88" i="2" s="1"/>
  <c r="AO89" i="2" s="1"/>
  <c r="AO35" i="16" s="1"/>
  <c r="W22" i="2"/>
  <c r="Z22" i="2"/>
  <c r="I22" i="2"/>
  <c r="BK22" i="2"/>
  <c r="BK34" i="2" s="1"/>
  <c r="BK88" i="2" s="1"/>
  <c r="BK89" i="2" s="1"/>
  <c r="BE22" i="2"/>
  <c r="Q22" i="2"/>
  <c r="AS88" i="2"/>
  <c r="AS89" i="2" s="1"/>
  <c r="AS35" i="16" s="1"/>
  <c r="AM5" i="16" l="1"/>
  <c r="AN5" i="16"/>
  <c r="AO5" i="16"/>
  <c r="BE34" i="2"/>
  <c r="B22" i="2"/>
  <c r="BE88" i="2" l="1"/>
  <c r="BE89" i="2" s="1"/>
  <c r="BE35" i="16" s="1"/>
  <c r="V30" i="2" l="1"/>
  <c r="W30" i="2"/>
  <c r="X30" i="2"/>
  <c r="Y30" i="2"/>
  <c r="Z30" i="2"/>
  <c r="AA30" i="2"/>
  <c r="AG49" i="2"/>
  <c r="AG99" i="2" s="1"/>
  <c r="AH49" i="2"/>
  <c r="AH99" i="2" s="1"/>
  <c r="AI49" i="2"/>
  <c r="AI99" i="2" s="1"/>
  <c r="AJ49" i="2"/>
  <c r="AJ99" i="2" s="1"/>
  <c r="AK49" i="2"/>
  <c r="AK99" i="2" s="1"/>
  <c r="AL49" i="2"/>
  <c r="AL99" i="2" s="1"/>
  <c r="AH52" i="2"/>
  <c r="AI52" i="2"/>
  <c r="AJ52" i="2"/>
  <c r="AK52" i="2"/>
  <c r="AL52" i="2"/>
  <c r="AM52" i="2"/>
  <c r="AH57" i="2"/>
  <c r="AH59" i="2" s="1"/>
  <c r="AI57" i="2"/>
  <c r="AI59" i="2" s="1"/>
  <c r="AJ57" i="2"/>
  <c r="AJ59" i="2" s="1"/>
  <c r="AK57" i="2"/>
  <c r="AL57" i="2"/>
  <c r="AL59" i="2" s="1"/>
  <c r="AM57" i="2"/>
  <c r="AM59" i="2" s="1"/>
  <c r="AK59" i="2"/>
  <c r="AI72" i="2"/>
  <c r="AI31" i="2" s="1"/>
  <c r="AJ72" i="2"/>
  <c r="AJ31" i="2" s="1"/>
  <c r="AJ32" i="2" s="1"/>
  <c r="AJ34" i="2" s="1"/>
  <c r="AJ88" i="2" s="1"/>
  <c r="AK72" i="2"/>
  <c r="AK31" i="2" s="1"/>
  <c r="AL72" i="2"/>
  <c r="AL31" i="2" s="1"/>
  <c r="AL32" i="2" s="1"/>
  <c r="AL34" i="2" s="1"/>
  <c r="AL5" i="16" s="1"/>
  <c r="V86" i="2"/>
  <c r="W86" i="2"/>
  <c r="X86" i="2"/>
  <c r="Y86" i="2"/>
  <c r="Z86" i="2"/>
  <c r="AA86" i="2"/>
  <c r="AM100" i="2"/>
  <c r="AM101" i="2"/>
  <c r="AJ5" i="16"/>
  <c r="AH72" i="2" l="1"/>
  <c r="AH31" i="2" s="1"/>
  <c r="AH32" i="2" s="1"/>
  <c r="AH34" i="2" s="1"/>
  <c r="AH5" i="16" s="1"/>
  <c r="AG72" i="2"/>
  <c r="AG31" i="2" s="1"/>
  <c r="AG32" i="2" s="1"/>
  <c r="AG34" i="2" s="1"/>
  <c r="AG5" i="16" s="1"/>
  <c r="AL87" i="2"/>
  <c r="AH88" i="2"/>
  <c r="AH87" i="2"/>
  <c r="AL88" i="2"/>
  <c r="AL89" i="2" s="1"/>
  <c r="AL35" i="16" s="1"/>
  <c r="AK32" i="2"/>
  <c r="AK34" i="2" s="1"/>
  <c r="AK87" i="2"/>
  <c r="AI32" i="2"/>
  <c r="AI34" i="2" s="1"/>
  <c r="AI87" i="2"/>
  <c r="AJ87" i="2"/>
  <c r="AJ89" i="2" s="1"/>
  <c r="AJ35" i="16" s="1"/>
  <c r="AG87" i="2" l="1"/>
  <c r="AG88" i="2"/>
  <c r="AG89" i="2" s="1"/>
  <c r="AG35" i="16" s="1"/>
  <c r="AH89" i="2"/>
  <c r="AH35" i="16" s="1"/>
  <c r="AI88" i="2"/>
  <c r="AI5" i="16"/>
  <c r="AK88" i="2"/>
  <c r="AK89" i="2" s="1"/>
  <c r="AK35" i="16" s="1"/>
  <c r="AK5" i="16"/>
  <c r="AI89" i="2"/>
  <c r="AI35" i="16" s="1"/>
  <c r="B29" i="2"/>
  <c r="C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B31" i="2"/>
  <c r="V31" i="2"/>
  <c r="W31" i="2"/>
  <c r="X31" i="2"/>
  <c r="Y31" i="2"/>
  <c r="Z31" i="2"/>
  <c r="AA31" i="2"/>
  <c r="AB31" i="2"/>
  <c r="AC31" i="2"/>
  <c r="AD31" i="2"/>
  <c r="AE31" i="2"/>
  <c r="AF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B35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V72" i="2"/>
  <c r="W72" i="2"/>
  <c r="X72" i="2"/>
  <c r="Y72" i="2"/>
  <c r="Z72" i="2"/>
  <c r="AA72" i="2"/>
  <c r="AB72" i="2"/>
  <c r="AC72" i="2"/>
  <c r="AD72" i="2"/>
  <c r="AE72" i="2"/>
  <c r="AF72" i="2"/>
  <c r="C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B87" i="2"/>
  <c r="V87" i="2"/>
  <c r="W87" i="2"/>
  <c r="X87" i="2"/>
  <c r="Y87" i="2"/>
  <c r="Z87" i="2"/>
  <c r="AA87" i="2"/>
  <c r="AB87" i="2"/>
  <c r="AC87" i="2"/>
  <c r="AD87" i="2"/>
  <c r="AE87" i="2"/>
  <c r="AF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B92" i="2"/>
  <c r="B93" i="2"/>
  <c r="B94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C99" i="2"/>
  <c r="BD99" i="2"/>
  <c r="BE99" i="2"/>
  <c r="BF99" i="2"/>
  <c r="BG99" i="2"/>
  <c r="BH99" i="2"/>
  <c r="BI99" i="2"/>
  <c r="BJ99" i="2"/>
  <c r="BK99" i="2"/>
  <c r="AG100" i="2"/>
  <c r="AG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105" i="2"/>
  <c r="B106" i="2"/>
  <c r="B107" i="2"/>
  <c r="B29" i="15"/>
  <c r="C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B31" i="15"/>
  <c r="AB31" i="15"/>
  <c r="AC31" i="15"/>
  <c r="AD31" i="15"/>
  <c r="AE31" i="15"/>
  <c r="AF31" i="15"/>
  <c r="AG31" i="15"/>
  <c r="AH31" i="15"/>
  <c r="AI31" i="15"/>
  <c r="AJ31" i="15"/>
  <c r="AK31" i="15"/>
  <c r="AL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B35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AY53" i="15"/>
  <c r="AZ53" i="15"/>
  <c r="BA53" i="15"/>
  <c r="BB53" i="15"/>
  <c r="BC53" i="15"/>
  <c r="BD53" i="15"/>
  <c r="BE53" i="15"/>
  <c r="BF53" i="15"/>
  <c r="BG53" i="15"/>
  <c r="BH53" i="15"/>
  <c r="BI53" i="15"/>
  <c r="BJ53" i="15"/>
  <c r="BK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I60" i="15"/>
  <c r="BJ60" i="15"/>
  <c r="BK60" i="15"/>
  <c r="AB72" i="15"/>
  <c r="AC72" i="15"/>
  <c r="AD72" i="15"/>
  <c r="AE72" i="15"/>
  <c r="AF72" i="15"/>
  <c r="AG72" i="15"/>
  <c r="AH72" i="15"/>
  <c r="AI72" i="15"/>
  <c r="AJ72" i="15"/>
  <c r="AK72" i="15"/>
  <c r="AL72" i="15"/>
  <c r="C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B87" i="15"/>
  <c r="AB87" i="15"/>
  <c r="AC87" i="15"/>
  <c r="AD87" i="15"/>
  <c r="AE87" i="15"/>
  <c r="AF87" i="15"/>
  <c r="AG87" i="15"/>
  <c r="AH87" i="15"/>
  <c r="AI87" i="15"/>
  <c r="AJ87" i="15"/>
  <c r="AK87" i="15"/>
  <c r="AL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AE88" i="15"/>
  <c r="AF88" i="15"/>
  <c r="AG88" i="15"/>
  <c r="AH88" i="15"/>
  <c r="AI88" i="15"/>
  <c r="AJ88" i="15"/>
  <c r="AK88" i="15"/>
  <c r="AL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AE89" i="15"/>
  <c r="AF89" i="15"/>
  <c r="AG89" i="15"/>
  <c r="AH89" i="15"/>
  <c r="AI89" i="15"/>
  <c r="AJ89" i="15"/>
  <c r="AK89" i="15"/>
  <c r="AL89" i="15"/>
  <c r="B92" i="15"/>
  <c r="B93" i="15"/>
  <c r="B94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S96" i="15"/>
  <c r="AT96" i="15"/>
  <c r="AU96" i="15"/>
  <c r="AV96" i="15"/>
  <c r="AW96" i="15"/>
  <c r="AX96" i="15"/>
  <c r="AY96" i="15"/>
  <c r="AZ96" i="15"/>
  <c r="BA96" i="15"/>
  <c r="BB96" i="15"/>
  <c r="BC96" i="15"/>
  <c r="BD96" i="15"/>
  <c r="BE96" i="15"/>
  <c r="BF96" i="15"/>
  <c r="BG96" i="15"/>
  <c r="BH96" i="15"/>
  <c r="BI96" i="15"/>
  <c r="BJ96" i="15"/>
  <c r="BK96" i="15"/>
  <c r="BC99" i="15"/>
  <c r="BD99" i="15"/>
  <c r="BE99" i="15"/>
  <c r="BF99" i="15"/>
  <c r="BG99" i="15"/>
  <c r="BH99" i="15"/>
  <c r="BI99" i="15"/>
  <c r="BJ99" i="15"/>
  <c r="BK99" i="15"/>
  <c r="AM100" i="15"/>
  <c r="AM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105" i="15"/>
  <c r="B106" i="15"/>
  <c r="B107" i="15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AN11" i="16"/>
  <c r="AO11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AT40" i="16"/>
  <c r="AU40" i="16"/>
  <c r="AV40" i="16"/>
  <c r="AW40" i="16"/>
  <c r="AX40" i="16"/>
  <c r="AY40" i="16"/>
  <c r="AZ40" i="16"/>
  <c r="BA40" i="16"/>
  <c r="BB40" i="16"/>
  <c r="BC40" i="16"/>
  <c r="BD40" i="16"/>
  <c r="BE40" i="16"/>
  <c r="BF40" i="16"/>
  <c r="BG40" i="16"/>
  <c r="BH40" i="16"/>
  <c r="BI40" i="16"/>
  <c r="BJ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AT41" i="16"/>
  <c r="AU41" i="16"/>
  <c r="AV41" i="16"/>
  <c r="AW41" i="16"/>
  <c r="AX41" i="16"/>
  <c r="AY41" i="16"/>
  <c r="AZ41" i="16"/>
  <c r="BA41" i="16"/>
  <c r="BB41" i="16"/>
  <c r="BC41" i="16"/>
  <c r="BD41" i="16"/>
  <c r="BE41" i="16"/>
  <c r="BF41" i="16"/>
  <c r="BG41" i="16"/>
  <c r="BH41" i="16"/>
  <c r="BI41" i="16"/>
  <c r="BJ41" i="16"/>
  <c r="D65" i="16"/>
  <c r="E65" i="16"/>
  <c r="F65" i="16"/>
  <c r="D66" i="16"/>
  <c r="E66" i="16"/>
  <c r="F66" i="16"/>
  <c r="K49" i="1"/>
  <c r="R49" i="1"/>
  <c r="K50" i="1"/>
  <c r="R50" i="1"/>
  <c r="K51" i="1"/>
  <c r="R51" i="1"/>
  <c r="J52" i="1"/>
  <c r="K52" i="1"/>
  <c r="Q52" i="1"/>
  <c r="R52" i="1"/>
  <c r="K59" i="1"/>
  <c r="R59" i="1"/>
  <c r="K60" i="1"/>
  <c r="R60" i="1"/>
  <c r="K66" i="1"/>
  <c r="R66" i="1"/>
  <c r="K67" i="1"/>
  <c r="R67" i="1"/>
  <c r="J77" i="1"/>
  <c r="K77" i="1"/>
  <c r="Q77" i="1"/>
  <c r="R77" i="1"/>
  <c r="I78" i="1"/>
  <c r="J78" i="1"/>
  <c r="K78" i="1"/>
  <c r="P78" i="1"/>
  <c r="Q78" i="1"/>
  <c r="R78" i="1"/>
  <c r="J80" i="1"/>
  <c r="K80" i="1"/>
  <c r="Q80" i="1"/>
  <c r="R80" i="1"/>
  <c r="J81" i="1"/>
  <c r="K81" i="1"/>
  <c r="Q81" i="1"/>
  <c r="R81" i="1"/>
  <c r="J82" i="1"/>
  <c r="K82" i="1"/>
  <c r="Q82" i="1"/>
  <c r="R82" i="1"/>
  <c r="I83" i="1"/>
  <c r="J83" i="1"/>
  <c r="K83" i="1"/>
  <c r="P83" i="1"/>
  <c r="Q83" i="1"/>
  <c r="R83" i="1"/>
  <c r="I99" i="1"/>
  <c r="P99" i="1"/>
  <c r="I100" i="1"/>
  <c r="P100" i="1"/>
  <c r="I101" i="1"/>
  <c r="P101" i="1"/>
  <c r="I104" i="1"/>
  <c r="P104" i="1"/>
  <c r="I105" i="1"/>
  <c r="P105" i="1"/>
  <c r="I106" i="1"/>
  <c r="P106" i="1"/>
  <c r="I110" i="1"/>
  <c r="J110" i="1"/>
  <c r="P110" i="1"/>
  <c r="Q110" i="1"/>
  <c r="I111" i="1"/>
  <c r="J111" i="1"/>
  <c r="P111" i="1"/>
  <c r="Q111" i="1"/>
  <c r="D32" i="14"/>
  <c r="D36" i="14"/>
  <c r="D37" i="14"/>
  <c r="D38" i="14"/>
  <c r="D39" i="14"/>
  <c r="D40" i="14"/>
  <c r="D44" i="14"/>
  <c r="D45" i="14"/>
  <c r="D49" i="14"/>
  <c r="H50" i="14"/>
  <c r="D53" i="14"/>
  <c r="D54" i="14"/>
  <c r="D55" i="14"/>
  <c r="D56" i="14"/>
  <c r="D57" i="14"/>
  <c r="D61" i="14"/>
  <c r="D62" i="14"/>
  <c r="D66" i="14"/>
  <c r="D67" i="14"/>
  <c r="D68" i="14"/>
</calcChain>
</file>

<file path=xl/sharedStrings.xml><?xml version="1.0" encoding="utf-8"?>
<sst xmlns="http://schemas.openxmlformats.org/spreadsheetml/2006/main" count="678" uniqueCount="313">
  <si>
    <t xml:space="preserve">Summary </t>
  </si>
  <si>
    <t>Gantt</t>
  </si>
  <si>
    <t>Property Information</t>
  </si>
  <si>
    <t>Address</t>
  </si>
  <si>
    <t>Berlin - Sample Project</t>
  </si>
  <si>
    <t>Asset Class</t>
  </si>
  <si>
    <t>Hospitality</t>
  </si>
  <si>
    <t>Type of Build</t>
  </si>
  <si>
    <t>5 over 2</t>
  </si>
  <si>
    <t>GSF</t>
  </si>
  <si>
    <t>Modular SF</t>
  </si>
  <si>
    <t>Podium SF</t>
  </si>
  <si>
    <t>Rooms</t>
  </si>
  <si>
    <t>Project Schedule</t>
  </si>
  <si>
    <t>Schedule</t>
  </si>
  <si>
    <t>Start Date</t>
  </si>
  <si>
    <t>Duration</t>
  </si>
  <si>
    <t>Duration in Days</t>
  </si>
  <si>
    <t>Modular - Acquisition and Planning</t>
  </si>
  <si>
    <t>Modular - Construction</t>
  </si>
  <si>
    <t>Modular - Modular Manufacturing</t>
  </si>
  <si>
    <t>Modular - Stabilization and Disposition</t>
  </si>
  <si>
    <t>Development Spend Over Time</t>
  </si>
  <si>
    <t>Traditional - Acquisition and Planning</t>
  </si>
  <si>
    <t>Traditional - Construction</t>
  </si>
  <si>
    <t>Traditional - Stabilization and Disposition</t>
  </si>
  <si>
    <t>Modular Construction</t>
  </si>
  <si>
    <t>Construction Duration</t>
  </si>
  <si>
    <t>Uses</t>
  </si>
  <si>
    <t>Land Cost</t>
  </si>
  <si>
    <t>Hard Costs</t>
  </si>
  <si>
    <t>Soft Costs</t>
  </si>
  <si>
    <t>Financing Costs</t>
  </si>
  <si>
    <t>Sources</t>
  </si>
  <si>
    <t>Senior Loan</t>
  </si>
  <si>
    <t>Mezzanine Loan</t>
  </si>
  <si>
    <t>Equity</t>
  </si>
  <si>
    <t>Economics</t>
  </si>
  <si>
    <t>Disposition Value</t>
  </si>
  <si>
    <t>Yield on Cost</t>
  </si>
  <si>
    <t>Project Levered IRR</t>
  </si>
  <si>
    <t>Traditional Construction</t>
  </si>
  <si>
    <t>Break-Even Analysis</t>
  </si>
  <si>
    <t>Traditional Construction Cost</t>
  </si>
  <si>
    <t>Data Table:</t>
  </si>
  <si>
    <t>On</t>
  </si>
  <si>
    <t>Modular Hard Cost:</t>
  </si>
  <si>
    <t>Modular Construction Cost</t>
  </si>
  <si>
    <t>Traditional Hard Cost:</t>
  </si>
  <si>
    <t>Modular Benefit</t>
  </si>
  <si>
    <t>Levered IRR (Points)</t>
  </si>
  <si>
    <t>Levered IRR (%)</t>
  </si>
  <si>
    <t>Model Inputs</t>
  </si>
  <si>
    <t>Development Summary</t>
  </si>
  <si>
    <t>Modular Construction Assumptions</t>
  </si>
  <si>
    <t>Traditional Construction Assumptions</t>
  </si>
  <si>
    <t>Operating Pro Forma</t>
  </si>
  <si>
    <t>Site Location</t>
  </si>
  <si>
    <t>Take Offs</t>
  </si>
  <si>
    <t>Gross SF</t>
  </si>
  <si>
    <t>Lot Area</t>
  </si>
  <si>
    <t>sf</t>
  </si>
  <si>
    <t>Income from Rooms</t>
  </si>
  <si>
    <t>Income from Food and Beverage</t>
  </si>
  <si>
    <t>Podium</t>
  </si>
  <si>
    <t>floors</t>
  </si>
  <si>
    <t>Income from Miscellaneous</t>
  </si>
  <si>
    <t># of Rooms</t>
  </si>
  <si>
    <t>Modular Floor Plate</t>
  </si>
  <si>
    <t>Total Income</t>
  </si>
  <si>
    <t>Modular</t>
  </si>
  <si>
    <t>Market Assumptions</t>
  </si>
  <si>
    <t>Months</t>
  </si>
  <si>
    <t>Fixed Expenses</t>
  </si>
  <si>
    <t>Total Gross Project Area</t>
  </si>
  <si>
    <t>Departmental Expenses</t>
  </si>
  <si>
    <t>Average Rate</t>
  </si>
  <si>
    <t>Podium Area</t>
  </si>
  <si>
    <t>Undistributed Expenses</t>
  </si>
  <si>
    <t>Days per Year</t>
  </si>
  <si>
    <t>Modular Area</t>
  </si>
  <si>
    <t>Reserves</t>
  </si>
  <si>
    <t>Stabilized Occupancy</t>
  </si>
  <si>
    <t>Total Expenses</t>
  </si>
  <si>
    <t>Months to Stabilization</t>
  </si>
  <si>
    <t>psf</t>
  </si>
  <si>
    <t>Total</t>
  </si>
  <si>
    <t>Exit</t>
  </si>
  <si>
    <t>Module Manufacturing (pmsf)</t>
  </si>
  <si>
    <t>Net Operating Income</t>
  </si>
  <si>
    <t>Exit Cap Rate</t>
  </si>
  <si>
    <t>Module Transport (pmsf)</t>
  </si>
  <si>
    <t>Disposition Fees</t>
  </si>
  <si>
    <t>Module Install (pmsf)</t>
  </si>
  <si>
    <t>Growth</t>
  </si>
  <si>
    <t>Module Finish Work On Site (pmsf)</t>
  </si>
  <si>
    <t>Annual Rate Growth</t>
  </si>
  <si>
    <t>Annual Other Income Growth</t>
  </si>
  <si>
    <t>FF&amp;E</t>
  </si>
  <si>
    <t>Annual Operating Expense Growth</t>
  </si>
  <si>
    <t>Subtotal, Hard Costs</t>
  </si>
  <si>
    <t xml:space="preserve">GC Contingency (on sitework only) </t>
  </si>
  <si>
    <t>Revnenue</t>
  </si>
  <si>
    <t xml:space="preserve">Escalation Contingency </t>
  </si>
  <si>
    <t>General Liability Insurance</t>
  </si>
  <si>
    <t>Number of Rooms</t>
  </si>
  <si>
    <t>GC Fee (on sitework only)</t>
  </si>
  <si>
    <t>Available Rooms per Year</t>
  </si>
  <si>
    <t>Total Hard Costs</t>
  </si>
  <si>
    <t>Occupied Rooms per Year</t>
  </si>
  <si>
    <t>Gross Income from Rooms</t>
  </si>
  <si>
    <t>Draw Breakdown</t>
  </si>
  <si>
    <t>Other Income</t>
  </si>
  <si>
    <t>Modular Draw</t>
  </si>
  <si>
    <t>Food and Beverage</t>
  </si>
  <si>
    <t>Per Occupied Room</t>
  </si>
  <si>
    <t>Construction Draw</t>
  </si>
  <si>
    <t>Miscellaneous</t>
  </si>
  <si>
    <t>Gross Annual Income</t>
  </si>
  <si>
    <t>Operating Expenses (Annual)</t>
  </si>
  <si>
    <t>Architect &amp; Engineering</t>
  </si>
  <si>
    <t>Entitlement and Permit Fees</t>
  </si>
  <si>
    <t>Real Estate Taxes</t>
  </si>
  <si>
    <t>Mill Rate</t>
  </si>
  <si>
    <t>Reserves (Property Tax)</t>
  </si>
  <si>
    <t>Insurance</t>
  </si>
  <si>
    <t>Per Unit</t>
  </si>
  <si>
    <t>Closing Costs</t>
  </si>
  <si>
    <t>of land costs</t>
  </si>
  <si>
    <t>Legal and 3rd Party</t>
  </si>
  <si>
    <t>% of Dept Revenue</t>
  </si>
  <si>
    <t>Marketing</t>
  </si>
  <si>
    <t>Developer Fee (% of Hard Costs)</t>
  </si>
  <si>
    <t>of hard costs</t>
  </si>
  <si>
    <t>Developer Contingency</t>
  </si>
  <si>
    <t>Total Soft Costs</t>
  </si>
  <si>
    <t>Administrative &amp; General</t>
  </si>
  <si>
    <t>% of Gross Revenue</t>
  </si>
  <si>
    <t>Credit Card Commissions</t>
  </si>
  <si>
    <t>Sales &amp; Marketing</t>
  </si>
  <si>
    <t>Interest Reserves</t>
  </si>
  <si>
    <t>Info &amp; Telecom</t>
  </si>
  <si>
    <t>Loan Fees</t>
  </si>
  <si>
    <t>Property Maintenance</t>
  </si>
  <si>
    <t>Negative Operating Expenses</t>
  </si>
  <si>
    <t>Energy</t>
  </si>
  <si>
    <t>Total Financing Costs</t>
  </si>
  <si>
    <t>Franchise Fees</t>
  </si>
  <si>
    <t>Base Management Fee</t>
  </si>
  <si>
    <t>Capital Reserves</t>
  </si>
  <si>
    <t>Senior Loan Assumptions</t>
  </si>
  <si>
    <t>Loan Sizing</t>
  </si>
  <si>
    <t>Loan Fee</t>
  </si>
  <si>
    <t>Interest Rate</t>
  </si>
  <si>
    <t>Type</t>
  </si>
  <si>
    <t>Interest Only</t>
  </si>
  <si>
    <t>Term</t>
  </si>
  <si>
    <t>Mezzanine Loan Assumptions</t>
  </si>
  <si>
    <t>PIK Interest</t>
  </si>
  <si>
    <t>Sources and Uses</t>
  </si>
  <si>
    <t>$ / sf</t>
  </si>
  <si>
    <t>Acquisition Cost</t>
  </si>
  <si>
    <t>Total Uses</t>
  </si>
  <si>
    <t>Construction Loan</t>
  </si>
  <si>
    <t>Total Sources</t>
  </si>
  <si>
    <t>Date</t>
  </si>
  <si>
    <t>Month Count</t>
  </si>
  <si>
    <t>Acquisition</t>
  </si>
  <si>
    <t>Planning &amp; Permitting Complete</t>
  </si>
  <si>
    <t>Construction Start</t>
  </si>
  <si>
    <t>Construction Loan Origination</t>
  </si>
  <si>
    <t>Modular Start</t>
  </si>
  <si>
    <t>Modular Complete</t>
  </si>
  <si>
    <t>Construction Complete</t>
  </si>
  <si>
    <t>Stabilization Start</t>
  </si>
  <si>
    <t>Stabilization Complete</t>
  </si>
  <si>
    <t>Unlevered Returns</t>
  </si>
  <si>
    <t>Unlevered IRR</t>
  </si>
  <si>
    <t>Multiple</t>
  </si>
  <si>
    <t>Net Profit</t>
  </si>
  <si>
    <t>Levered Returns</t>
  </si>
  <si>
    <t>Levered IRR</t>
  </si>
  <si>
    <t>YIELD ON COST</t>
  </si>
  <si>
    <t>Stabilization</t>
  </si>
  <si>
    <t>Disposition</t>
  </si>
  <si>
    <t xml:space="preserve">Stabilized NOI </t>
  </si>
  <si>
    <t>Total Project Costs</t>
  </si>
  <si>
    <t>Monthly Cash Flow - Modular</t>
  </si>
  <si>
    <t>Starting Date</t>
  </si>
  <si>
    <t>Year</t>
  </si>
  <si>
    <t>Year Counter</t>
  </si>
  <si>
    <t xml:space="preserve">Development Costs </t>
  </si>
  <si>
    <t>Land</t>
  </si>
  <si>
    <t>Land Acquisition</t>
  </si>
  <si>
    <t>Total Land Expenses</t>
  </si>
  <si>
    <t xml:space="preserve">Hard Costs </t>
  </si>
  <si>
    <t>Modular Draw %</t>
  </si>
  <si>
    <t>Modular Draw $</t>
  </si>
  <si>
    <t>Construction Draw %</t>
  </si>
  <si>
    <t>Construction Draw $</t>
  </si>
  <si>
    <t>Hard Cost Total</t>
  </si>
  <si>
    <t xml:space="preserve">Soft Costs </t>
  </si>
  <si>
    <t>Soft Cost %</t>
  </si>
  <si>
    <t>Soft Cost Total</t>
  </si>
  <si>
    <t>Interest Reserve</t>
  </si>
  <si>
    <t>Financing Cost Total</t>
  </si>
  <si>
    <t>Total Development Costs</t>
  </si>
  <si>
    <t>check</t>
  </si>
  <si>
    <t>Draw Schedule</t>
  </si>
  <si>
    <t>Total Equity Beginning Balance</t>
  </si>
  <si>
    <t>Total Equity Equity Required</t>
  </si>
  <si>
    <t>Total Equity Ending Balance</t>
  </si>
  <si>
    <t>Senior Debt</t>
  </si>
  <si>
    <t>Beginning Balance</t>
  </si>
  <si>
    <t>Senior Debt Funded</t>
  </si>
  <si>
    <t>Ending Balance</t>
  </si>
  <si>
    <t xml:space="preserve">Disposition Date </t>
  </si>
  <si>
    <t>IF(C4&gt;=$B$45,0,SUM($C43:C$43)*$B46/12)</t>
  </si>
  <si>
    <t xml:space="preserve">Interest Expense </t>
  </si>
  <si>
    <t>Mezz Loan</t>
  </si>
  <si>
    <t>Mezz Debt Funded</t>
  </si>
  <si>
    <t>Ending Available Mezz Balance</t>
  </si>
  <si>
    <t>Mezz Interest</t>
  </si>
  <si>
    <t xml:space="preserve">Beginning Debt Balance </t>
  </si>
  <si>
    <t xml:space="preserve">Mezz Debt Funded </t>
  </si>
  <si>
    <t>Ending Balance, Total</t>
  </si>
  <si>
    <t>NOI</t>
  </si>
  <si>
    <t>Stabilization (%)</t>
  </si>
  <si>
    <t>Cumulative Stabilization</t>
  </si>
  <si>
    <t>Disposition Date</t>
  </si>
  <si>
    <t>Monthly Gross Income</t>
  </si>
  <si>
    <t>Monthly Expenses</t>
  </si>
  <si>
    <t>NOI + Interest</t>
  </si>
  <si>
    <t>Cap Rate</t>
  </si>
  <si>
    <t>12m fwd NOI</t>
  </si>
  <si>
    <t>Disposition (12m fwd NOI)</t>
  </si>
  <si>
    <t>Cost of Sale</t>
  </si>
  <si>
    <t>Net Sales Proceeds</t>
  </si>
  <si>
    <t>Cash Flows</t>
  </si>
  <si>
    <t>Soft Cost Adjustments</t>
  </si>
  <si>
    <t>Add Back: Loan Fee</t>
  </si>
  <si>
    <t>Add Back: Interest Reserves</t>
  </si>
  <si>
    <t>Add Back: Negative Operating Expenses</t>
  </si>
  <si>
    <t>Cash Flow Subtotal</t>
  </si>
  <si>
    <t>Unlevered Cash Flow</t>
  </si>
  <si>
    <t>Equity Invested</t>
  </si>
  <si>
    <t>Non-capitalized Interest Payments</t>
  </si>
  <si>
    <t>Mezz Debt Repayment</t>
  </si>
  <si>
    <t>Senior Debt Repayment</t>
  </si>
  <si>
    <t>Levered Cash Flow</t>
  </si>
  <si>
    <t>Monthly Cash Flow - Traditional</t>
  </si>
  <si>
    <t>Modular Data</t>
  </si>
  <si>
    <t>Project</t>
  </si>
  <si>
    <t>VBC Actual</t>
  </si>
  <si>
    <t>Location</t>
  </si>
  <si>
    <t>Berlin</t>
  </si>
  <si>
    <t>Contract Price</t>
  </si>
  <si>
    <t>PLD</t>
  </si>
  <si>
    <t>USD</t>
  </si>
  <si>
    <t>SQM</t>
  </si>
  <si>
    <t>SF</t>
  </si>
  <si>
    <t>Total Cost PSF</t>
  </si>
  <si>
    <t>$PSF</t>
  </si>
  <si>
    <t>Design</t>
  </si>
  <si>
    <t>Project Management</t>
  </si>
  <si>
    <t>Steel Cage</t>
  </si>
  <si>
    <t>Modules</t>
  </si>
  <si>
    <t>Furniture</t>
  </si>
  <si>
    <t>Transport</t>
  </si>
  <si>
    <t>Insurance and Duty</t>
  </si>
  <si>
    <t>Installation</t>
  </si>
  <si>
    <t>Reserve</t>
  </si>
  <si>
    <t>SG&amp;A</t>
  </si>
  <si>
    <t>Manufacturing</t>
  </si>
  <si>
    <t>Install</t>
  </si>
  <si>
    <t>Sitework Data</t>
  </si>
  <si>
    <t>Market Data</t>
  </si>
  <si>
    <t>Cost</t>
  </si>
  <si>
    <t>EUR</t>
  </si>
  <si>
    <t>Area</t>
  </si>
  <si>
    <t>Month</t>
  </si>
  <si>
    <t>Traditional</t>
  </si>
  <si>
    <t>Cumulative Spend</t>
  </si>
  <si>
    <t>Cash Flows Over Time</t>
  </si>
  <si>
    <t>Cumulative Cash Flow</t>
  </si>
  <si>
    <t>VBC</t>
  </si>
  <si>
    <t>faster</t>
  </si>
  <si>
    <t>higher return</t>
  </si>
  <si>
    <t>Interest Paid</t>
  </si>
  <si>
    <t>less interest paid</t>
  </si>
  <si>
    <t>Summary</t>
  </si>
  <si>
    <t>Studios</t>
  </si>
  <si>
    <t>1 Bedrooms</t>
  </si>
  <si>
    <t>2 Bedrooms</t>
  </si>
  <si>
    <t>3 Bedrooms</t>
  </si>
  <si>
    <t>Blended</t>
  </si>
  <si>
    <t>Adjustments</t>
  </si>
  <si>
    <t>Comments</t>
  </si>
  <si>
    <t>#</t>
  </si>
  <si>
    <t>Property</t>
  </si>
  <si>
    <t># Units</t>
  </si>
  <si>
    <t>Built</t>
  </si>
  <si>
    <t>Units</t>
  </si>
  <si>
    <t>Rent $ / Mo.</t>
  </si>
  <si>
    <t>$ / SF</t>
  </si>
  <si>
    <t>Rent</t>
  </si>
  <si>
    <t>Adj.</t>
  </si>
  <si>
    <t>Studio</t>
  </si>
  <si>
    <t>1BR</t>
  </si>
  <si>
    <t>2BR</t>
  </si>
  <si>
    <t>3BR</t>
  </si>
  <si>
    <t>Average</t>
  </si>
  <si>
    <t>Sample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</si>
</sst>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(* #,##0_);_(* \(#,##0\);_(* &quot;-&quot;??_);_(@_)"/>
    <numFmt numFmtId="168" formatCode="#.0&quot;x&quot;"/>
    <numFmt numFmtId="169" formatCode="&quot;Year&quot;\ #"/>
    <numFmt numFmtId="170" formatCode="0.0"/>
    <numFmt numFmtId="171" formatCode="&quot;$&quot;#,##0.0000"/>
    <numFmt numFmtId="172" formatCode="_(&quot;$&quot;#,##0_);\(&quot;$&quot;#,##0\);_(&quot;–&quot;_);_(@_)"/>
    <numFmt numFmtId="173" formatCode="_(#,##0_);\(#,##0\);_(&quot;–&quot;_);_(@_)"/>
    <numFmt numFmtId="174" formatCode="#&quot; months&quot;"/>
    <numFmt numFmtId="175" formatCode="&quot;$&quot;#,##0.0_);[Red]\(&quot;$&quot;#,##0.0\)"/>
    <numFmt numFmtId="176" formatCode="_(* #,##0.0_);_(* \(#,##0.0\);_(* &quot;-&quot;??_);_(@_)"/>
    <numFmt numFmtId="177" formatCode="&quot;$&quot;#,##0.0"/>
    <numFmt numFmtId="178" formatCode="_(&quot;$&quot;* #,##0_);_(&quot;$&quot;* \(#,##0\);_(&quot;$&quot;* &quot;-&quot;??_);_(@_)"/>
    <numFmt numFmtId="179" formatCode="&quot;$&quot;#&quot; PSF&quot;"/>
    <numFmt numFmtId="180" formatCode="0%\ &quot; faster&quot;"/>
    <numFmt numFmtId="181" formatCode="0%\ &quot; less interest paid&quot;"/>
    <numFmt numFmtId="182" formatCode="0.0%\ &quot; points higher&quot;"/>
    <numFmt numFmtId="183" formatCode="0.0%\ &quot; higher ROI&quot;"/>
    <numFmt numFmtId="184" formatCode="0%\ &quot; Deposit&quot;"/>
    <numFmt numFmtId="185" formatCode="0%\ &quot; of Total&quot;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8" tint="-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42424"/>
      <name val="Inherit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B254A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37" fontId="19" fillId="0" borderId="0"/>
    <xf numFmtId="9" fontId="20" fillId="0" borderId="0" applyFont="0" applyFill="0" applyBorder="0" applyAlignment="0" applyProtection="0"/>
    <xf numFmtId="0" fontId="4" fillId="0" borderId="0"/>
    <xf numFmtId="14" fontId="21" fillId="0" borderId="0" applyFill="0" applyBorder="0">
      <alignment horizontal="center" vertical="center"/>
    </xf>
    <xf numFmtId="0" fontId="22" fillId="7" borderId="25" applyNumberFormat="0" applyProtection="0">
      <alignment horizontal="left" vertical="center"/>
    </xf>
    <xf numFmtId="1" fontId="23" fillId="7" borderId="25">
      <alignment horizontal="center" vertical="center"/>
    </xf>
    <xf numFmtId="0" fontId="24" fillId="8" borderId="26" applyNumberFormat="0" applyFont="0" applyAlignment="0">
      <alignment horizontal="center"/>
    </xf>
    <xf numFmtId="0" fontId="25" fillId="0" borderId="0" applyNumberFormat="0" applyFill="0" applyBorder="0" applyProtection="0">
      <alignment horizontal="left" vertical="center"/>
    </xf>
    <xf numFmtId="0" fontId="24" fillId="9" borderId="27" applyNumberFormat="0" applyFont="0" applyAlignment="0">
      <alignment horizontal="center"/>
    </xf>
    <xf numFmtId="0" fontId="24" fillId="10" borderId="27" applyNumberFormat="0" applyFont="0" applyAlignment="0">
      <alignment horizontal="center"/>
    </xf>
    <xf numFmtId="0" fontId="24" fillId="11" borderId="27" applyNumberFormat="0" applyFont="0" applyAlignment="0">
      <alignment horizontal="center"/>
    </xf>
    <xf numFmtId="0" fontId="24" fillId="12" borderId="27" applyNumberFormat="0" applyFont="0" applyAlignment="0">
      <alignment horizontal="center"/>
    </xf>
    <xf numFmtId="0" fontId="26" fillId="0" borderId="0" applyFill="0" applyBorder="0" applyProtection="0">
      <alignment horizontal="center" wrapText="1"/>
    </xf>
    <xf numFmtId="3" fontId="26" fillId="0" borderId="28" applyFill="0" applyProtection="0">
      <alignment horizontal="center"/>
    </xf>
    <xf numFmtId="0" fontId="27" fillId="0" borderId="0" applyFill="0" applyBorder="0" applyProtection="0">
      <alignment horizontal="left" wrapText="1"/>
    </xf>
    <xf numFmtId="9" fontId="28" fillId="0" borderId="0" applyFill="0" applyBorder="0" applyProtection="0">
      <alignment horizontal="center" vertical="center"/>
    </xf>
  </cellStyleXfs>
  <cellXfs count="460">
    <xf numFmtId="0" fontId="0" fillId="0" borderId="0" xfId="0"/>
    <xf numFmtId="0" fontId="0" fillId="0" borderId="3" xfId="0" applyBorder="1"/>
    <xf numFmtId="0" fontId="0" fillId="0" borderId="10" xfId="0" applyBorder="1"/>
    <xf numFmtId="0" fontId="0" fillId="0" borderId="2" xfId="0" applyBorder="1"/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167" fontId="0" fillId="0" borderId="0" xfId="1" applyNumberFormat="1" applyFont="1"/>
    <xf numFmtId="0" fontId="3" fillId="0" borderId="7" xfId="0" applyFont="1" applyBorder="1"/>
    <xf numFmtId="167" fontId="0" fillId="0" borderId="0" xfId="1" applyNumberFormat="1" applyFont="1" applyBorder="1"/>
    <xf numFmtId="0" fontId="10" fillId="0" borderId="0" xfId="0" applyFont="1"/>
    <xf numFmtId="0" fontId="0" fillId="0" borderId="0" xfId="0" applyAlignment="1">
      <alignment horizontal="left" indent="1"/>
    </xf>
    <xf numFmtId="0" fontId="9" fillId="0" borderId="0" xfId="0" applyFont="1"/>
    <xf numFmtId="0" fontId="3" fillId="0" borderId="7" xfId="0" applyFont="1" applyBorder="1" applyAlignment="1">
      <alignment horizontal="left" indent="1"/>
    </xf>
    <xf numFmtId="0" fontId="3" fillId="0" borderId="14" xfId="0" applyFont="1" applyBorder="1"/>
    <xf numFmtId="167" fontId="8" fillId="0" borderId="0" xfId="1" applyNumberFormat="1" applyFont="1" applyFill="1"/>
    <xf numFmtId="167" fontId="7" fillId="0" borderId="0" xfId="1" applyNumberFormat="1" applyFont="1"/>
    <xf numFmtId="167" fontId="0" fillId="0" borderId="0" xfId="1" applyNumberFormat="1" applyFont="1" applyFill="1"/>
    <xf numFmtId="167" fontId="3" fillId="0" borderId="7" xfId="1" applyNumberFormat="1" applyFont="1" applyFill="1" applyBorder="1"/>
    <xf numFmtId="167" fontId="3" fillId="0" borderId="0" xfId="1" applyNumberFormat="1" applyFont="1" applyFill="1" applyBorder="1"/>
    <xf numFmtId="9" fontId="7" fillId="0" borderId="0" xfId="0" applyNumberFormat="1" applyFont="1"/>
    <xf numFmtId="167" fontId="0" fillId="0" borderId="0" xfId="1" applyNumberFormat="1" applyFont="1" applyFill="1" applyBorder="1"/>
    <xf numFmtId="9" fontId="0" fillId="0" borderId="0" xfId="1" applyNumberFormat="1" applyFont="1" applyFill="1" applyBorder="1"/>
    <xf numFmtId="167" fontId="3" fillId="0" borderId="7" xfId="0" applyNumberFormat="1" applyFont="1" applyBorder="1"/>
    <xf numFmtId="167" fontId="9" fillId="0" borderId="0" xfId="1" applyNumberFormat="1" applyFont="1"/>
    <xf numFmtId="167" fontId="7" fillId="0" borderId="0" xfId="0" applyNumberFormat="1" applyFont="1"/>
    <xf numFmtId="167" fontId="0" fillId="0" borderId="7" xfId="1" applyNumberFormat="1" applyFont="1" applyFill="1" applyBorder="1"/>
    <xf numFmtId="167" fontId="3" fillId="0" borderId="14" xfId="0" applyNumberFormat="1" applyFont="1" applyBorder="1"/>
    <xf numFmtId="167" fontId="3" fillId="0" borderId="14" xfId="1" applyNumberFormat="1" applyFont="1" applyFill="1" applyBorder="1"/>
    <xf numFmtId="167" fontId="7" fillId="0" borderId="0" xfId="1" applyNumberFormat="1" applyFont="1" applyFill="1"/>
    <xf numFmtId="167" fontId="0" fillId="0" borderId="0" xfId="0" applyNumberFormat="1"/>
    <xf numFmtId="0" fontId="7" fillId="0" borderId="0" xfId="0" applyFont="1"/>
    <xf numFmtId="0" fontId="0" fillId="0" borderId="14" xfId="0" applyBorder="1"/>
    <xf numFmtId="3" fontId="7" fillId="0" borderId="14" xfId="0" applyNumberFormat="1" applyFont="1" applyBorder="1"/>
    <xf numFmtId="167" fontId="0" fillId="0" borderId="14" xfId="1" applyNumberFormat="1" applyFont="1" applyFill="1" applyBorder="1"/>
    <xf numFmtId="3" fontId="7" fillId="0" borderId="0" xfId="0" applyNumberFormat="1" applyFont="1"/>
    <xf numFmtId="10" fontId="7" fillId="0" borderId="0" xfId="1" applyNumberFormat="1" applyFont="1"/>
    <xf numFmtId="0" fontId="3" fillId="4" borderId="5" xfId="0" applyFont="1" applyFill="1" applyBorder="1"/>
    <xf numFmtId="167" fontId="3" fillId="4" borderId="5" xfId="1" applyNumberFormat="1" applyFont="1" applyFill="1" applyBorder="1"/>
    <xf numFmtId="0" fontId="0" fillId="3" borderId="1" xfId="0" applyFill="1" applyBorder="1"/>
    <xf numFmtId="166" fontId="0" fillId="3" borderId="8" xfId="2" applyNumberFormat="1" applyFont="1" applyFill="1" applyBorder="1"/>
    <xf numFmtId="0" fontId="0" fillId="3" borderId="3" xfId="0" applyFill="1" applyBorder="1"/>
    <xf numFmtId="168" fontId="0" fillId="3" borderId="2" xfId="0" applyNumberFormat="1" applyFill="1" applyBorder="1"/>
    <xf numFmtId="0" fontId="0" fillId="3" borderId="9" xfId="0" applyFill="1" applyBorder="1"/>
    <xf numFmtId="10" fontId="0" fillId="0" borderId="0" xfId="2" applyNumberFormat="1" applyFont="1" applyFill="1"/>
    <xf numFmtId="167" fontId="0" fillId="3" borderId="11" xfId="1" applyNumberFormat="1" applyFont="1" applyFill="1" applyBorder="1" applyAlignment="1">
      <alignment horizontal="right"/>
    </xf>
    <xf numFmtId="167" fontId="8" fillId="0" borderId="10" xfId="1" applyNumberFormat="1" applyFont="1" applyFill="1" applyBorder="1"/>
    <xf numFmtId="43" fontId="3" fillId="0" borderId="0" xfId="1" applyFont="1" applyFill="1" applyBorder="1"/>
    <xf numFmtId="9" fontId="3" fillId="0" borderId="0" xfId="0" applyNumberFormat="1" applyFont="1"/>
    <xf numFmtId="167" fontId="3" fillId="0" borderId="0" xfId="0" applyNumberFormat="1" applyFont="1"/>
    <xf numFmtId="0" fontId="11" fillId="0" borderId="0" xfId="0" applyFont="1"/>
    <xf numFmtId="167" fontId="0" fillId="0" borderId="0" xfId="2" applyNumberFormat="1" applyFont="1" applyFill="1"/>
    <xf numFmtId="0" fontId="3" fillId="4" borderId="4" xfId="0" applyFont="1" applyFill="1" applyBorder="1"/>
    <xf numFmtId="167" fontId="0" fillId="3" borderId="11" xfId="0" applyNumberFormat="1" applyFill="1" applyBorder="1" applyAlignment="1">
      <alignment horizontal="right"/>
    </xf>
    <xf numFmtId="0" fontId="15" fillId="3" borderId="4" xfId="0" applyFont="1" applyFill="1" applyBorder="1" applyAlignment="1">
      <alignment horizontal="center" wrapText="1" readingOrder="1"/>
    </xf>
    <xf numFmtId="0" fontId="15" fillId="3" borderId="5" xfId="0" applyFont="1" applyFill="1" applyBorder="1" applyAlignment="1">
      <alignment horizontal="left" wrapText="1" readingOrder="1"/>
    </xf>
    <xf numFmtId="0" fontId="16" fillId="3" borderId="5" xfId="0" applyFont="1" applyFill="1" applyBorder="1" applyAlignment="1">
      <alignment horizontal="center" wrapText="1" readingOrder="1"/>
    </xf>
    <xf numFmtId="2" fontId="16" fillId="3" borderId="5" xfId="0" applyNumberFormat="1" applyFont="1" applyFill="1" applyBorder="1" applyAlignment="1">
      <alignment horizontal="right" wrapText="1" readingOrder="1"/>
    </xf>
    <xf numFmtId="9" fontId="1" fillId="0" borderId="0" xfId="2" applyFont="1"/>
    <xf numFmtId="167" fontId="1" fillId="0" borderId="0" xfId="1" applyNumberFormat="1" applyFont="1" applyFill="1" applyBorder="1"/>
    <xf numFmtId="0" fontId="17" fillId="0" borderId="0" xfId="3"/>
    <xf numFmtId="0" fontId="15" fillId="0" borderId="0" xfId="0" applyFont="1" applyAlignment="1">
      <alignment horizontal="left" wrapText="1" readingOrder="1"/>
    </xf>
    <xf numFmtId="0" fontId="16" fillId="0" borderId="0" xfId="0" applyFont="1" applyAlignment="1">
      <alignment horizontal="center" wrapText="1" readingOrder="1"/>
    </xf>
    <xf numFmtId="165" fontId="16" fillId="0" borderId="0" xfId="0" applyNumberFormat="1" applyFont="1" applyAlignment="1">
      <alignment horizontal="right" wrapText="1" readingOrder="1"/>
    </xf>
    <xf numFmtId="0" fontId="16" fillId="0" borderId="0" xfId="0" applyFont="1" applyAlignment="1">
      <alignment horizontal="right" wrapText="1" readingOrder="1"/>
    </xf>
    <xf numFmtId="1" fontId="16" fillId="0" borderId="0" xfId="0" applyNumberFormat="1" applyFont="1" applyAlignment="1">
      <alignment horizontal="right" wrapText="1" readingOrder="1"/>
    </xf>
    <xf numFmtId="167" fontId="16" fillId="0" borderId="0" xfId="1" applyNumberFormat="1" applyFont="1" applyBorder="1" applyAlignment="1">
      <alignment horizontal="right" wrapText="1" readingOrder="1"/>
    </xf>
    <xf numFmtId="0" fontId="0" fillId="0" borderId="3" xfId="0" applyBorder="1" applyAlignment="1">
      <alignment horizontal="right"/>
    </xf>
    <xf numFmtId="164" fontId="16" fillId="0" borderId="2" xfId="0" applyNumberFormat="1" applyFont="1" applyBorder="1" applyAlignment="1">
      <alignment horizontal="right" wrapText="1" readingOrder="1"/>
    </xf>
    <xf numFmtId="0" fontId="16" fillId="0" borderId="3" xfId="0" applyFont="1" applyBorder="1" applyAlignment="1">
      <alignment horizontal="right" wrapText="1" readingOrder="1"/>
    </xf>
    <xf numFmtId="164" fontId="16" fillId="0" borderId="2" xfId="1" applyNumberFormat="1" applyFont="1" applyBorder="1" applyAlignment="1">
      <alignment horizontal="right" wrapText="1" readingOrder="1"/>
    </xf>
    <xf numFmtId="164" fontId="16" fillId="0" borderId="3" xfId="0" applyNumberFormat="1" applyFont="1" applyBorder="1" applyAlignment="1">
      <alignment horizontal="right" wrapText="1" readingOrder="1"/>
    </xf>
    <xf numFmtId="164" fontId="16" fillId="0" borderId="3" xfId="1" applyNumberFormat="1" applyFont="1" applyBorder="1" applyAlignment="1">
      <alignment horizontal="right" wrapText="1" readingOrder="1"/>
    </xf>
    <xf numFmtId="0" fontId="14" fillId="5" borderId="8" xfId="0" applyFont="1" applyFill="1" applyBorder="1" applyAlignment="1">
      <alignment wrapText="1" readingOrder="1"/>
    </xf>
    <xf numFmtId="0" fontId="13" fillId="5" borderId="7" xfId="0" applyFont="1" applyFill="1" applyBorder="1" applyAlignment="1">
      <alignment horizontal="left" wrapText="1" readingOrder="1"/>
    </xf>
    <xf numFmtId="0" fontId="13" fillId="5" borderId="8" xfId="0" applyFont="1" applyFill="1" applyBorder="1" applyAlignment="1">
      <alignment horizontal="left" wrapText="1" readingOrder="1"/>
    </xf>
    <xf numFmtId="0" fontId="15" fillId="0" borderId="3" xfId="0" applyFont="1" applyBorder="1" applyAlignment="1">
      <alignment horizontal="center" wrapText="1" readingOrder="1"/>
    </xf>
    <xf numFmtId="0" fontId="16" fillId="0" borderId="2" xfId="0" applyFont="1" applyBorder="1" applyAlignment="1">
      <alignment horizontal="center" wrapText="1" readingOrder="1"/>
    </xf>
    <xf numFmtId="0" fontId="14" fillId="5" borderId="9" xfId="0" applyFont="1" applyFill="1" applyBorder="1" applyAlignment="1">
      <alignment horizontal="center" wrapText="1" readingOrder="1"/>
    </xf>
    <xf numFmtId="0" fontId="14" fillId="5" borderId="10" xfId="0" applyFont="1" applyFill="1" applyBorder="1" applyAlignment="1">
      <alignment horizontal="left" wrapText="1" readingOrder="1"/>
    </xf>
    <xf numFmtId="0" fontId="14" fillId="5" borderId="10" xfId="0" applyFont="1" applyFill="1" applyBorder="1" applyAlignment="1">
      <alignment horizontal="center" wrapText="1" readingOrder="1"/>
    </xf>
    <xf numFmtId="0" fontId="14" fillId="5" borderId="11" xfId="0" applyFont="1" applyFill="1" applyBorder="1" applyAlignment="1">
      <alignment horizontal="center" wrapText="1" readingOrder="1"/>
    </xf>
    <xf numFmtId="0" fontId="16" fillId="3" borderId="6" xfId="0" applyFont="1" applyFill="1" applyBorder="1" applyAlignment="1">
      <alignment horizontal="center" wrapText="1" readingOrder="1"/>
    </xf>
    <xf numFmtId="0" fontId="16" fillId="3" borderId="4" xfId="0" applyFont="1" applyFill="1" applyBorder="1" applyAlignment="1">
      <alignment horizontal="right" wrapText="1" readingOrder="1"/>
    </xf>
    <xf numFmtId="2" fontId="16" fillId="3" borderId="6" xfId="0" applyNumberFormat="1" applyFont="1" applyFill="1" applyBorder="1" applyAlignment="1">
      <alignment horizontal="right" wrapText="1" readingOrder="1"/>
    </xf>
    <xf numFmtId="170" fontId="16" fillId="3" borderId="4" xfId="0" applyNumberFormat="1" applyFont="1" applyFill="1" applyBorder="1" applyAlignment="1">
      <alignment horizontal="right" wrapText="1" readingOrder="1"/>
    </xf>
    <xf numFmtId="170" fontId="16" fillId="3" borderId="6" xfId="0" applyNumberFormat="1" applyFont="1" applyFill="1" applyBorder="1" applyAlignment="1">
      <alignment horizontal="right" wrapText="1" readingOrder="1"/>
    </xf>
    <xf numFmtId="9" fontId="0" fillId="0" borderId="3" xfId="0" applyNumberFormat="1" applyBorder="1"/>
    <xf numFmtId="164" fontId="16" fillId="0" borderId="13" xfId="0" applyNumberFormat="1" applyFont="1" applyBorder="1" applyAlignment="1">
      <alignment horizontal="right" wrapText="1" readingOrder="1"/>
    </xf>
    <xf numFmtId="164" fontId="16" fillId="0" borderId="15" xfId="0" applyNumberFormat="1" applyFont="1" applyBorder="1" applyAlignment="1">
      <alignment horizontal="right" wrapText="1" readingOrder="1"/>
    </xf>
    <xf numFmtId="164" fontId="16" fillId="0" borderId="16" xfId="0" applyNumberFormat="1" applyFont="1" applyBorder="1" applyAlignment="1">
      <alignment horizontal="right" wrapText="1" readingOrder="1"/>
    </xf>
    <xf numFmtId="10" fontId="0" fillId="0" borderId="0" xfId="0" applyNumberFormat="1"/>
    <xf numFmtId="0" fontId="17" fillId="0" borderId="0" xfId="3" applyBorder="1"/>
    <xf numFmtId="166" fontId="0" fillId="0" borderId="0" xfId="0" applyNumberFormat="1"/>
    <xf numFmtId="0" fontId="4" fillId="5" borderId="7" xfId="0" applyFont="1" applyFill="1" applyBorder="1" applyAlignment="1">
      <alignment horizontal="left" wrapText="1" readingOrder="1"/>
    </xf>
    <xf numFmtId="164" fontId="0" fillId="0" borderId="3" xfId="0" applyNumberFormat="1" applyBorder="1"/>
    <xf numFmtId="0" fontId="18" fillId="0" borderId="0" xfId="0" applyFont="1"/>
    <xf numFmtId="170" fontId="0" fillId="0" borderId="0" xfId="0" applyNumberFormat="1"/>
    <xf numFmtId="167" fontId="3" fillId="0" borderId="0" xfId="1" applyNumberFormat="1" applyFont="1"/>
    <xf numFmtId="166" fontId="7" fillId="0" borderId="0" xfId="0" applyNumberFormat="1" applyFont="1"/>
    <xf numFmtId="167" fontId="6" fillId="0" borderId="0" xfId="1" applyNumberFormat="1" applyFont="1"/>
    <xf numFmtId="167" fontId="5" fillId="0" borderId="0" xfId="1" applyNumberFormat="1" applyFont="1" applyFill="1"/>
    <xf numFmtId="0" fontId="3" fillId="0" borderId="0" xfId="0" applyFont="1" applyAlignment="1">
      <alignment horizontal="left"/>
    </xf>
    <xf numFmtId="43" fontId="0" fillId="0" borderId="0" xfId="1" applyFont="1" applyFill="1" applyBorder="1"/>
    <xf numFmtId="167" fontId="4" fillId="0" borderId="0" xfId="1" applyNumberFormat="1" applyFont="1" applyFill="1"/>
    <xf numFmtId="0" fontId="29" fillId="13" borderId="30" xfId="0" applyFont="1" applyFill="1" applyBorder="1"/>
    <xf numFmtId="0" fontId="29" fillId="13" borderId="31" xfId="0" applyFont="1" applyFill="1" applyBorder="1"/>
    <xf numFmtId="0" fontId="29" fillId="0" borderId="0" xfId="0" applyFont="1"/>
    <xf numFmtId="0" fontId="30" fillId="2" borderId="33" xfId="0" applyFont="1" applyFill="1" applyBorder="1"/>
    <xf numFmtId="0" fontId="31" fillId="2" borderId="5" xfId="0" applyFont="1" applyFill="1" applyBorder="1"/>
    <xf numFmtId="0" fontId="31" fillId="2" borderId="6" xfId="0" applyFont="1" applyFill="1" applyBorder="1"/>
    <xf numFmtId="0" fontId="29" fillId="14" borderId="29" xfId="0" applyFont="1" applyFill="1" applyBorder="1"/>
    <xf numFmtId="0" fontId="29" fillId="14" borderId="31" xfId="0" applyFont="1" applyFill="1" applyBorder="1"/>
    <xf numFmtId="0" fontId="29" fillId="15" borderId="29" xfId="0" applyFont="1" applyFill="1" applyBorder="1"/>
    <xf numFmtId="0" fontId="29" fillId="15" borderId="31" xfId="0" applyFont="1" applyFill="1" applyBorder="1"/>
    <xf numFmtId="0" fontId="30" fillId="6" borderId="1" xfId="0" applyFont="1" applyFill="1" applyBorder="1"/>
    <xf numFmtId="169" fontId="30" fillId="6" borderId="7" xfId="0" applyNumberFormat="1" applyFont="1" applyFill="1" applyBorder="1" applyAlignment="1">
      <alignment horizontal="center"/>
    </xf>
    <xf numFmtId="169" fontId="30" fillId="6" borderId="8" xfId="0" applyNumberFormat="1" applyFont="1" applyFill="1" applyBorder="1" applyAlignment="1">
      <alignment horizontal="center"/>
    </xf>
    <xf numFmtId="0" fontId="32" fillId="13" borderId="22" xfId="0" applyFont="1" applyFill="1" applyBorder="1"/>
    <xf numFmtId="0" fontId="32" fillId="0" borderId="0" xfId="0" applyFont="1"/>
    <xf numFmtId="0" fontId="32" fillId="13" borderId="34" xfId="0" applyFont="1" applyFill="1" applyBorder="1" applyAlignment="1">
      <alignment horizontal="left"/>
    </xf>
    <xf numFmtId="0" fontId="32" fillId="13" borderId="7" xfId="0" applyFont="1" applyFill="1" applyBorder="1" applyAlignment="1">
      <alignment horizontal="left"/>
    </xf>
    <xf numFmtId="0" fontId="32" fillId="13" borderId="7" xfId="0" applyFont="1" applyFill="1" applyBorder="1"/>
    <xf numFmtId="0" fontId="33" fillId="13" borderId="8" xfId="0" applyFont="1" applyFill="1" applyBorder="1" applyAlignment="1">
      <alignment horizontal="right"/>
    </xf>
    <xf numFmtId="0" fontId="32" fillId="14" borderId="21" xfId="0" applyFont="1" applyFill="1" applyBorder="1"/>
    <xf numFmtId="0" fontId="30" fillId="2" borderId="1" xfId="0" applyFont="1" applyFill="1" applyBorder="1"/>
    <xf numFmtId="0" fontId="31" fillId="2" borderId="7" xfId="0" applyFont="1" applyFill="1" applyBorder="1"/>
    <xf numFmtId="0" fontId="31" fillId="2" borderId="8" xfId="0" applyFont="1" applyFill="1" applyBorder="1"/>
    <xf numFmtId="0" fontId="32" fillId="14" borderId="22" xfId="0" applyFont="1" applyFill="1" applyBorder="1"/>
    <xf numFmtId="0" fontId="32" fillId="15" borderId="21" xfId="0" applyFont="1" applyFill="1" applyBorder="1"/>
    <xf numFmtId="0" fontId="32" fillId="15" borderId="22" xfId="0" applyFont="1" applyFill="1" applyBorder="1"/>
    <xf numFmtId="0" fontId="32" fillId="13" borderId="1" xfId="0" applyFont="1" applyFill="1" applyBorder="1" applyAlignment="1">
      <alignment horizontal="left"/>
    </xf>
    <xf numFmtId="167" fontId="32" fillId="13" borderId="7" xfId="1" applyNumberFormat="1" applyFont="1" applyFill="1" applyBorder="1" applyAlignment="1">
      <alignment horizontal="center"/>
    </xf>
    <xf numFmtId="167" fontId="32" fillId="13" borderId="7" xfId="0" applyNumberFormat="1" applyFont="1" applyFill="1" applyBorder="1" applyAlignment="1">
      <alignment horizontal="center"/>
    </xf>
    <xf numFmtId="167" fontId="32" fillId="13" borderId="8" xfId="0" applyNumberFormat="1" applyFont="1" applyFill="1" applyBorder="1" applyAlignment="1">
      <alignment horizontal="center"/>
    </xf>
    <xf numFmtId="0" fontId="32" fillId="13" borderId="21" xfId="0" applyFont="1" applyFill="1" applyBorder="1"/>
    <xf numFmtId="167" fontId="32" fillId="13" borderId="2" xfId="1" applyNumberFormat="1" applyFont="1" applyFill="1" applyBorder="1" applyAlignment="1">
      <alignment horizontal="right"/>
    </xf>
    <xf numFmtId="0" fontId="32" fillId="13" borderId="1" xfId="0" applyFont="1" applyFill="1" applyBorder="1"/>
    <xf numFmtId="167" fontId="33" fillId="13" borderId="7" xfId="1" applyNumberFormat="1" applyFont="1" applyFill="1" applyBorder="1"/>
    <xf numFmtId="0" fontId="32" fillId="13" borderId="8" xfId="0" applyFont="1" applyFill="1" applyBorder="1"/>
    <xf numFmtId="0" fontId="32" fillId="13" borderId="3" xfId="0" applyFont="1" applyFill="1" applyBorder="1" applyAlignment="1">
      <alignment horizontal="left"/>
    </xf>
    <xf numFmtId="167" fontId="32" fillId="13" borderId="0" xfId="1" applyNumberFormat="1" applyFont="1" applyFill="1" applyBorder="1" applyAlignment="1">
      <alignment horizontal="center"/>
    </xf>
    <xf numFmtId="167" fontId="32" fillId="13" borderId="2" xfId="1" applyNumberFormat="1" applyFont="1" applyFill="1" applyBorder="1" applyAlignment="1">
      <alignment horizontal="center"/>
    </xf>
    <xf numFmtId="0" fontId="32" fillId="13" borderId="3" xfId="0" applyFont="1" applyFill="1" applyBorder="1"/>
    <xf numFmtId="167" fontId="33" fillId="13" borderId="0" xfId="1" applyNumberFormat="1" applyFont="1" applyFill="1" applyBorder="1"/>
    <xf numFmtId="0" fontId="32" fillId="13" borderId="2" xfId="0" applyFont="1" applyFill="1" applyBorder="1"/>
    <xf numFmtId="0" fontId="32" fillId="13" borderId="9" xfId="0" applyFont="1" applyFill="1" applyBorder="1" applyAlignment="1">
      <alignment horizontal="left"/>
    </xf>
    <xf numFmtId="167" fontId="32" fillId="13" borderId="10" xfId="1" applyNumberFormat="1" applyFont="1" applyFill="1" applyBorder="1" applyAlignment="1">
      <alignment horizontal="center"/>
    </xf>
    <xf numFmtId="0" fontId="32" fillId="13" borderId="35" xfId="0" applyFont="1" applyFill="1" applyBorder="1"/>
    <xf numFmtId="0" fontId="32" fillId="13" borderId="10" xfId="0" applyFont="1" applyFill="1" applyBorder="1"/>
    <xf numFmtId="1" fontId="32" fillId="13" borderId="11" xfId="0" applyNumberFormat="1" applyFont="1" applyFill="1" applyBorder="1" applyAlignment="1">
      <alignment horizontal="right"/>
    </xf>
    <xf numFmtId="0" fontId="34" fillId="13" borderId="1" xfId="0" applyFont="1" applyFill="1" applyBorder="1" applyAlignment="1">
      <alignment horizontal="left"/>
    </xf>
    <xf numFmtId="167" fontId="32" fillId="13" borderId="8" xfId="1" applyNumberFormat="1" applyFont="1" applyFill="1" applyBorder="1" applyAlignment="1">
      <alignment horizontal="center"/>
    </xf>
    <xf numFmtId="0" fontId="32" fillId="13" borderId="9" xfId="0" applyFont="1" applyFill="1" applyBorder="1"/>
    <xf numFmtId="0" fontId="33" fillId="13" borderId="10" xfId="0" applyFont="1" applyFill="1" applyBorder="1"/>
    <xf numFmtId="0" fontId="32" fillId="13" borderId="11" xfId="0" applyFont="1" applyFill="1" applyBorder="1"/>
    <xf numFmtId="3" fontId="30" fillId="2" borderId="7" xfId="0" applyNumberFormat="1" applyFont="1" applyFill="1" applyBorder="1"/>
    <xf numFmtId="3" fontId="30" fillId="2" borderId="8" xfId="0" applyNumberFormat="1" applyFont="1" applyFill="1" applyBorder="1"/>
    <xf numFmtId="3" fontId="35" fillId="4" borderId="5" xfId="0" applyNumberFormat="1" applyFont="1" applyFill="1" applyBorder="1"/>
    <xf numFmtId="3" fontId="35" fillId="4" borderId="6" xfId="0" applyNumberFormat="1" applyFont="1" applyFill="1" applyBorder="1"/>
    <xf numFmtId="0" fontId="34" fillId="13" borderId="9" xfId="0" applyFont="1" applyFill="1" applyBorder="1"/>
    <xf numFmtId="167" fontId="36" fillId="13" borderId="10" xfId="1" applyNumberFormat="1" applyFont="1" applyFill="1" applyBorder="1"/>
    <xf numFmtId="164" fontId="33" fillId="13" borderId="8" xfId="0" applyNumberFormat="1" applyFont="1" applyFill="1" applyBorder="1"/>
    <xf numFmtId="167" fontId="33" fillId="13" borderId="2" xfId="1" applyNumberFormat="1" applyFont="1" applyFill="1" applyBorder="1"/>
    <xf numFmtId="167" fontId="32" fillId="13" borderId="11" xfId="1" applyNumberFormat="1" applyFont="1" applyFill="1" applyBorder="1" applyAlignment="1">
      <alignment horizontal="center"/>
    </xf>
    <xf numFmtId="166" fontId="33" fillId="13" borderId="2" xfId="0" applyNumberFormat="1" applyFont="1" applyFill="1" applyBorder="1"/>
    <xf numFmtId="0" fontId="34" fillId="13" borderId="3" xfId="0" applyFont="1" applyFill="1" applyBorder="1"/>
    <xf numFmtId="176" fontId="33" fillId="13" borderId="11" xfId="1" applyNumberFormat="1" applyFont="1" applyFill="1" applyBorder="1"/>
    <xf numFmtId="0" fontId="30" fillId="2" borderId="4" xfId="0" applyFont="1" applyFill="1" applyBorder="1"/>
    <xf numFmtId="0" fontId="30" fillId="2" borderId="5" xfId="0" applyFont="1" applyFill="1" applyBorder="1"/>
    <xf numFmtId="0" fontId="30" fillId="2" borderId="6" xfId="0" applyFont="1" applyFill="1" applyBorder="1"/>
    <xf numFmtId="0" fontId="32" fillId="13" borderId="2" xfId="0" applyFont="1" applyFill="1" applyBorder="1" applyAlignment="1">
      <alignment horizontal="center"/>
    </xf>
    <xf numFmtId="165" fontId="36" fillId="13" borderId="2" xfId="0" applyNumberFormat="1" applyFont="1" applyFill="1" applyBorder="1"/>
    <xf numFmtId="0" fontId="34" fillId="13" borderId="4" xfId="0" applyFont="1" applyFill="1" applyBorder="1"/>
    <xf numFmtId="167" fontId="32" fillId="13" borderId="5" xfId="1" applyNumberFormat="1" applyFont="1" applyFill="1" applyBorder="1" applyAlignment="1">
      <alignment horizontal="center"/>
    </xf>
    <xf numFmtId="167" fontId="32" fillId="13" borderId="6" xfId="1" applyNumberFormat="1" applyFont="1" applyFill="1" applyBorder="1" applyAlignment="1">
      <alignment horizontal="center"/>
    </xf>
    <xf numFmtId="166" fontId="33" fillId="13" borderId="8" xfId="0" applyNumberFormat="1" applyFont="1" applyFill="1" applyBorder="1"/>
    <xf numFmtId="9" fontId="32" fillId="13" borderId="0" xfId="2" applyFont="1" applyFill="1" applyBorder="1"/>
    <xf numFmtId="9" fontId="32" fillId="14" borderId="21" xfId="2" applyFont="1" applyFill="1" applyBorder="1"/>
    <xf numFmtId="164" fontId="36" fillId="13" borderId="10" xfId="0" applyNumberFormat="1" applyFont="1" applyFill="1" applyBorder="1" applyAlignment="1">
      <alignment horizontal="right"/>
    </xf>
    <xf numFmtId="165" fontId="33" fillId="13" borderId="11" xfId="0" applyNumberFormat="1" applyFont="1" applyFill="1" applyBorder="1"/>
    <xf numFmtId="9" fontId="32" fillId="14" borderId="22" xfId="2" applyFont="1" applyFill="1" applyBorder="1"/>
    <xf numFmtId="9" fontId="32" fillId="15" borderId="21" xfId="2" applyFont="1" applyFill="1" applyBorder="1"/>
    <xf numFmtId="9" fontId="32" fillId="15" borderId="22" xfId="2" applyFont="1" applyFill="1" applyBorder="1"/>
    <xf numFmtId="166" fontId="33" fillId="13" borderId="11" xfId="0" applyNumberFormat="1" applyFont="1" applyFill="1" applyBorder="1"/>
    <xf numFmtId="165" fontId="34" fillId="13" borderId="2" xfId="0" applyNumberFormat="1" applyFont="1" applyFill="1" applyBorder="1"/>
    <xf numFmtId="9" fontId="33" fillId="13" borderId="7" xfId="0" applyNumberFormat="1" applyFont="1" applyFill="1" applyBorder="1"/>
    <xf numFmtId="165" fontId="32" fillId="13" borderId="7" xfId="0" applyNumberFormat="1" applyFont="1" applyFill="1" applyBorder="1"/>
    <xf numFmtId="165" fontId="32" fillId="13" borderId="8" xfId="0" applyNumberFormat="1" applyFont="1" applyFill="1" applyBorder="1"/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165" fontId="32" fillId="13" borderId="2" xfId="0" applyNumberFormat="1" applyFont="1" applyFill="1" applyBorder="1"/>
    <xf numFmtId="3" fontId="35" fillId="4" borderId="7" xfId="0" applyNumberFormat="1" applyFont="1" applyFill="1" applyBorder="1"/>
    <xf numFmtId="3" fontId="35" fillId="4" borderId="8" xfId="0" applyNumberFormat="1" applyFont="1" applyFill="1" applyBorder="1"/>
    <xf numFmtId="3" fontId="33" fillId="13" borderId="7" xfId="0" applyNumberFormat="1" applyFont="1" applyFill="1" applyBorder="1" applyAlignment="1">
      <alignment horizontal="center"/>
    </xf>
    <xf numFmtId="9" fontId="33" fillId="13" borderId="7" xfId="2" applyFont="1" applyFill="1" applyBorder="1" applyAlignment="1">
      <alignment horizontal="right"/>
    </xf>
    <xf numFmtId="165" fontId="32" fillId="13" borderId="7" xfId="0" applyNumberFormat="1" applyFont="1" applyFill="1" applyBorder="1" applyAlignment="1">
      <alignment horizontal="right"/>
    </xf>
    <xf numFmtId="1" fontId="33" fillId="13" borderId="8" xfId="0" applyNumberFormat="1" applyFont="1" applyFill="1" applyBorder="1" applyAlignment="1">
      <alignment horizontal="right"/>
    </xf>
    <xf numFmtId="10" fontId="33" fillId="13" borderId="10" xfId="0" applyNumberFormat="1" applyFont="1" applyFill="1" applyBorder="1"/>
    <xf numFmtId="165" fontId="32" fillId="13" borderId="10" xfId="0" applyNumberFormat="1" applyFont="1" applyFill="1" applyBorder="1"/>
    <xf numFmtId="165" fontId="32" fillId="13" borderId="11" xfId="0" applyNumberFormat="1" applyFont="1" applyFill="1" applyBorder="1"/>
    <xf numFmtId="1" fontId="36" fillId="13" borderId="2" xfId="0" applyNumberFormat="1" applyFont="1" applyFill="1" applyBorder="1" applyAlignment="1">
      <alignment horizontal="right"/>
    </xf>
    <xf numFmtId="0" fontId="34" fillId="13" borderId="10" xfId="0" applyFont="1" applyFill="1" applyBorder="1"/>
    <xf numFmtId="165" fontId="34" fillId="13" borderId="10" xfId="0" applyNumberFormat="1" applyFont="1" applyFill="1" applyBorder="1"/>
    <xf numFmtId="165" fontId="34" fillId="13" borderId="11" xfId="0" applyNumberFormat="1" applyFont="1" applyFill="1" applyBorder="1"/>
    <xf numFmtId="3" fontId="33" fillId="13" borderId="10" xfId="0" applyNumberFormat="1" applyFont="1" applyFill="1" applyBorder="1" applyAlignment="1">
      <alignment horizontal="center"/>
    </xf>
    <xf numFmtId="164" fontId="33" fillId="13" borderId="10" xfId="0" applyNumberFormat="1" applyFont="1" applyFill="1" applyBorder="1" applyAlignment="1">
      <alignment horizontal="right"/>
    </xf>
    <xf numFmtId="165" fontId="32" fillId="13" borderId="10" xfId="0" applyNumberFormat="1" applyFont="1" applyFill="1" applyBorder="1" applyAlignment="1">
      <alignment horizontal="right"/>
    </xf>
    <xf numFmtId="1" fontId="36" fillId="13" borderId="11" xfId="0" applyNumberFormat="1" applyFont="1" applyFill="1" applyBorder="1" applyAlignment="1">
      <alignment horizontal="right"/>
    </xf>
    <xf numFmtId="3" fontId="34" fillId="13" borderId="10" xfId="0" applyNumberFormat="1" applyFont="1" applyFill="1" applyBorder="1" applyAlignment="1">
      <alignment horizontal="center"/>
    </xf>
    <xf numFmtId="164" fontId="34" fillId="13" borderId="10" xfId="0" applyNumberFormat="1" applyFont="1" applyFill="1" applyBorder="1" applyAlignment="1">
      <alignment horizontal="right"/>
    </xf>
    <xf numFmtId="165" fontId="34" fillId="13" borderId="10" xfId="0" applyNumberFormat="1" applyFont="1" applyFill="1" applyBorder="1" applyAlignment="1">
      <alignment horizontal="right"/>
    </xf>
    <xf numFmtId="165" fontId="34" fillId="13" borderId="11" xfId="0" applyNumberFormat="1" applyFont="1" applyFill="1" applyBorder="1" applyAlignment="1">
      <alignment horizontal="right"/>
    </xf>
    <xf numFmtId="165" fontId="33" fillId="13" borderId="7" xfId="0" applyNumberFormat="1" applyFont="1" applyFill="1" applyBorder="1" applyAlignment="1">
      <alignment horizontal="right"/>
    </xf>
    <xf numFmtId="177" fontId="33" fillId="13" borderId="7" xfId="0" applyNumberFormat="1" applyFont="1" applyFill="1" applyBorder="1"/>
    <xf numFmtId="165" fontId="32" fillId="13" borderId="8" xfId="0" applyNumberFormat="1" applyFont="1" applyFill="1" applyBorder="1" applyAlignment="1">
      <alignment horizontal="right"/>
    </xf>
    <xf numFmtId="177" fontId="33" fillId="13" borderId="10" xfId="0" applyNumberFormat="1" applyFont="1" applyFill="1" applyBorder="1"/>
    <xf numFmtId="165" fontId="32" fillId="13" borderId="11" xfId="0" applyNumberFormat="1" applyFont="1" applyFill="1" applyBorder="1" applyAlignment="1">
      <alignment horizontal="right"/>
    </xf>
    <xf numFmtId="0" fontId="34" fillId="13" borderId="5" xfId="0" applyFont="1" applyFill="1" applyBorder="1"/>
    <xf numFmtId="165" fontId="34" fillId="13" borderId="5" xfId="0" applyNumberFormat="1" applyFont="1" applyFill="1" applyBorder="1"/>
    <xf numFmtId="165" fontId="34" fillId="13" borderId="6" xfId="0" applyNumberFormat="1" applyFont="1" applyFill="1" applyBorder="1"/>
    <xf numFmtId="10" fontId="33" fillId="13" borderId="7" xfId="0" applyNumberFormat="1" applyFont="1" applyFill="1" applyBorder="1"/>
    <xf numFmtId="165" fontId="36" fillId="13" borderId="8" xfId="0" applyNumberFormat="1" applyFont="1" applyFill="1" applyBorder="1"/>
    <xf numFmtId="165" fontId="33" fillId="13" borderId="2" xfId="0" applyNumberFormat="1" applyFont="1" applyFill="1" applyBorder="1"/>
    <xf numFmtId="166" fontId="33" fillId="13" borderId="0" xfId="2" applyNumberFormat="1" applyFont="1" applyFill="1" applyBorder="1"/>
    <xf numFmtId="166" fontId="33" fillId="13" borderId="7" xfId="2" applyNumberFormat="1" applyFont="1" applyFill="1" applyBorder="1"/>
    <xf numFmtId="165" fontId="40" fillId="13" borderId="2" xfId="0" applyNumberFormat="1" applyFont="1" applyFill="1" applyBorder="1"/>
    <xf numFmtId="165" fontId="32" fillId="14" borderId="21" xfId="0" applyNumberFormat="1" applyFont="1" applyFill="1" applyBorder="1"/>
    <xf numFmtId="165" fontId="40" fillId="13" borderId="11" xfId="0" applyNumberFormat="1" applyFont="1" applyFill="1" applyBorder="1"/>
    <xf numFmtId="165" fontId="32" fillId="14" borderId="22" xfId="0" applyNumberFormat="1" applyFont="1" applyFill="1" applyBorder="1"/>
    <xf numFmtId="165" fontId="32" fillId="15" borderId="21" xfId="0" applyNumberFormat="1" applyFont="1" applyFill="1" applyBorder="1"/>
    <xf numFmtId="165" fontId="32" fillId="15" borderId="22" xfId="0" applyNumberFormat="1" applyFont="1" applyFill="1" applyBorder="1"/>
    <xf numFmtId="166" fontId="33" fillId="13" borderId="10" xfId="2" applyNumberFormat="1" applyFont="1" applyFill="1" applyBorder="1"/>
    <xf numFmtId="165" fontId="36" fillId="13" borderId="11" xfId="0" applyNumberFormat="1" applyFont="1" applyFill="1" applyBorder="1"/>
    <xf numFmtId="167" fontId="32" fillId="15" borderId="21" xfId="1" applyNumberFormat="1" applyFont="1" applyFill="1" applyBorder="1"/>
    <xf numFmtId="0" fontId="32" fillId="2" borderId="7" xfId="0" applyFont="1" applyFill="1" applyBorder="1"/>
    <xf numFmtId="0" fontId="32" fillId="2" borderId="8" xfId="0" applyFont="1" applyFill="1" applyBorder="1"/>
    <xf numFmtId="9" fontId="33" fillId="13" borderId="0" xfId="2" applyFont="1" applyFill="1" applyBorder="1"/>
    <xf numFmtId="8" fontId="32" fillId="14" borderId="22" xfId="0" applyNumberFormat="1" applyFont="1" applyFill="1" applyBorder="1"/>
    <xf numFmtId="10" fontId="33" fillId="13" borderId="2" xfId="2" applyNumberFormat="1" applyFont="1" applyFill="1" applyBorder="1" applyAlignment="1">
      <alignment horizontal="right" indent="1"/>
    </xf>
    <xf numFmtId="0" fontId="32" fillId="13" borderId="2" xfId="0" applyFont="1" applyFill="1" applyBorder="1" applyAlignment="1">
      <alignment horizontal="right"/>
    </xf>
    <xf numFmtId="0" fontId="33" fillId="13" borderId="11" xfId="0" applyFont="1" applyFill="1" applyBorder="1" applyAlignment="1">
      <alignment horizontal="right"/>
    </xf>
    <xf numFmtId="0" fontId="33" fillId="13" borderId="2" xfId="0" applyFont="1" applyFill="1" applyBorder="1" applyAlignment="1">
      <alignment horizontal="right"/>
    </xf>
    <xf numFmtId="0" fontId="32" fillId="14" borderId="7" xfId="0" applyFont="1" applyFill="1" applyBorder="1"/>
    <xf numFmtId="0" fontId="33" fillId="14" borderId="7" xfId="0" applyFont="1" applyFill="1" applyBorder="1" applyAlignment="1">
      <alignment horizontal="right"/>
    </xf>
    <xf numFmtId="0" fontId="32" fillId="15" borderId="7" xfId="0" applyFont="1" applyFill="1" applyBorder="1"/>
    <xf numFmtId="0" fontId="33" fillId="15" borderId="7" xfId="0" applyFont="1" applyFill="1" applyBorder="1" applyAlignment="1">
      <alignment horizontal="right"/>
    </xf>
    <xf numFmtId="0" fontId="30" fillId="2" borderId="3" xfId="0" applyFont="1" applyFill="1" applyBorder="1"/>
    <xf numFmtId="0" fontId="32" fillId="2" borderId="2" xfId="0" applyFont="1" applyFill="1" applyBorder="1"/>
    <xf numFmtId="165" fontId="36" fillId="13" borderId="7" xfId="0" applyNumberFormat="1" applyFont="1" applyFill="1" applyBorder="1"/>
    <xf numFmtId="165" fontId="33" fillId="13" borderId="8" xfId="0" applyNumberFormat="1" applyFont="1" applyFill="1" applyBorder="1"/>
    <xf numFmtId="165" fontId="35" fillId="13" borderId="5" xfId="0" applyNumberFormat="1" applyFont="1" applyFill="1" applyBorder="1"/>
    <xf numFmtId="165" fontId="35" fillId="13" borderId="6" xfId="0" applyNumberFormat="1" applyFont="1" applyFill="1" applyBorder="1"/>
    <xf numFmtId="165" fontId="36" fillId="13" borderId="10" xfId="0" applyNumberFormat="1" applyFont="1" applyFill="1" applyBorder="1"/>
    <xf numFmtId="165" fontId="35" fillId="13" borderId="11" xfId="0" applyNumberFormat="1" applyFont="1" applyFill="1" applyBorder="1"/>
    <xf numFmtId="0" fontId="34" fillId="14" borderId="1" xfId="0" applyFont="1" applyFill="1" applyBorder="1"/>
    <xf numFmtId="165" fontId="34" fillId="14" borderId="7" xfId="0" applyNumberFormat="1" applyFont="1" applyFill="1" applyBorder="1"/>
    <xf numFmtId="164" fontId="34" fillId="14" borderId="7" xfId="0" applyNumberFormat="1" applyFont="1" applyFill="1" applyBorder="1"/>
    <xf numFmtId="167" fontId="34" fillId="14" borderId="8" xfId="0" applyNumberFormat="1" applyFont="1" applyFill="1" applyBorder="1"/>
    <xf numFmtId="0" fontId="34" fillId="15" borderId="1" xfId="0" applyFont="1" applyFill="1" applyBorder="1"/>
    <xf numFmtId="165" fontId="34" fillId="15" borderId="7" xfId="0" applyNumberFormat="1" applyFont="1" applyFill="1" applyBorder="1"/>
    <xf numFmtId="164" fontId="34" fillId="15" borderId="7" xfId="0" applyNumberFormat="1" applyFont="1" applyFill="1" applyBorder="1"/>
    <xf numFmtId="167" fontId="34" fillId="15" borderId="8" xfId="0" applyNumberFormat="1" applyFont="1" applyFill="1" applyBorder="1"/>
    <xf numFmtId="0" fontId="41" fillId="13" borderId="7" xfId="0" applyFont="1" applyFill="1" applyBorder="1" applyAlignment="1">
      <alignment horizontal="right"/>
    </xf>
    <xf numFmtId="0" fontId="41" fillId="13" borderId="8" xfId="0" applyFont="1" applyFill="1" applyBorder="1" applyAlignment="1">
      <alignment horizontal="right"/>
    </xf>
    <xf numFmtId="0" fontId="33" fillId="13" borderId="2" xfId="1" applyNumberFormat="1" applyFont="1" applyFill="1" applyBorder="1" applyAlignment="1">
      <alignment horizontal="center"/>
    </xf>
    <xf numFmtId="0" fontId="32" fillId="13" borderId="2" xfId="1" applyNumberFormat="1" applyFont="1" applyFill="1" applyBorder="1" applyAlignment="1">
      <alignment horizontal="center"/>
    </xf>
    <xf numFmtId="0" fontId="36" fillId="13" borderId="2" xfId="1" applyNumberFormat="1" applyFont="1" applyFill="1" applyBorder="1" applyAlignment="1">
      <alignment horizontal="center"/>
    </xf>
    <xf numFmtId="43" fontId="32" fillId="14" borderId="22" xfId="0" applyNumberFormat="1" applyFont="1" applyFill="1" applyBorder="1"/>
    <xf numFmtId="14" fontId="32" fillId="13" borderId="10" xfId="0" applyNumberFormat="1" applyFont="1" applyFill="1" applyBorder="1"/>
    <xf numFmtId="0" fontId="36" fillId="13" borderId="11" xfId="0" applyFont="1" applyFill="1" applyBorder="1" applyAlignment="1">
      <alignment horizontal="center"/>
    </xf>
    <xf numFmtId="0" fontId="32" fillId="3" borderId="1" xfId="0" applyFont="1" applyFill="1" applyBorder="1"/>
    <xf numFmtId="166" fontId="32" fillId="3" borderId="8" xfId="2" applyNumberFormat="1" applyFont="1" applyFill="1" applyBorder="1"/>
    <xf numFmtId="0" fontId="32" fillId="3" borderId="3" xfId="0" applyFont="1" applyFill="1" applyBorder="1"/>
    <xf numFmtId="168" fontId="32" fillId="3" borderId="2" xfId="0" applyNumberFormat="1" applyFont="1" applyFill="1" applyBorder="1"/>
    <xf numFmtId="0" fontId="32" fillId="3" borderId="9" xfId="0" applyFont="1" applyFill="1" applyBorder="1"/>
    <xf numFmtId="167" fontId="32" fillId="3" borderId="11" xfId="0" applyNumberFormat="1" applyFont="1" applyFill="1" applyBorder="1" applyAlignment="1">
      <alignment horizontal="right"/>
    </xf>
    <xf numFmtId="167" fontId="32" fillId="3" borderId="11" xfId="1" applyNumberFormat="1" applyFont="1" applyFill="1" applyBorder="1" applyAlignment="1">
      <alignment horizontal="right"/>
    </xf>
    <xf numFmtId="0" fontId="32" fillId="13" borderId="12" xfId="0" applyFont="1" applyFill="1" applyBorder="1" applyAlignment="1">
      <alignment horizontal="left"/>
    </xf>
    <xf numFmtId="6" fontId="36" fillId="13" borderId="12" xfId="0" applyNumberFormat="1" applyFont="1" applyFill="1" applyBorder="1" applyAlignment="1">
      <alignment horizontal="right"/>
    </xf>
    <xf numFmtId="165" fontId="36" fillId="13" borderId="12" xfId="0" applyNumberFormat="1" applyFont="1" applyFill="1" applyBorder="1" applyAlignment="1">
      <alignment horizontal="right"/>
    </xf>
    <xf numFmtId="0" fontId="32" fillId="13" borderId="12" xfId="0" applyFont="1" applyFill="1" applyBorder="1"/>
    <xf numFmtId="10" fontId="32" fillId="13" borderId="12" xfId="0" applyNumberFormat="1" applyFont="1" applyFill="1" applyBorder="1" applyAlignment="1">
      <alignment horizontal="right"/>
    </xf>
    <xf numFmtId="0" fontId="32" fillId="14" borderId="23" xfId="0" applyFont="1" applyFill="1" applyBorder="1"/>
    <xf numFmtId="0" fontId="32" fillId="14" borderId="17" xfId="0" applyFont="1" applyFill="1" applyBorder="1"/>
    <xf numFmtId="0" fontId="32" fillId="14" borderId="24" xfId="0" applyFont="1" applyFill="1" applyBorder="1"/>
    <xf numFmtId="0" fontId="32" fillId="15" borderId="23" xfId="0" applyFont="1" applyFill="1" applyBorder="1"/>
    <xf numFmtId="0" fontId="32" fillId="15" borderId="17" xfId="0" applyFont="1" applyFill="1" applyBorder="1"/>
    <xf numFmtId="0" fontId="32" fillId="15" borderId="24" xfId="0" applyFont="1" applyFill="1" applyBorder="1"/>
    <xf numFmtId="0" fontId="32" fillId="13" borderId="23" xfId="0" applyFont="1" applyFill="1" applyBorder="1"/>
    <xf numFmtId="0" fontId="32" fillId="13" borderId="17" xfId="0" applyFont="1" applyFill="1" applyBorder="1"/>
    <xf numFmtId="0" fontId="32" fillId="13" borderId="24" xfId="0" applyFont="1" applyFill="1" applyBorder="1"/>
    <xf numFmtId="0" fontId="34" fillId="0" borderId="19" xfId="0" applyFont="1" applyBorder="1"/>
    <xf numFmtId="0" fontId="34" fillId="0" borderId="20" xfId="0" applyFont="1" applyBorder="1"/>
    <xf numFmtId="0" fontId="32" fillId="0" borderId="21" xfId="0" applyFont="1" applyBorder="1"/>
    <xf numFmtId="0" fontId="32" fillId="0" borderId="22" xfId="0" applyFont="1" applyBorder="1"/>
    <xf numFmtId="0" fontId="32" fillId="0" borderId="29" xfId="0" applyFont="1" applyBorder="1"/>
    <xf numFmtId="0" fontId="32" fillId="0" borderId="30" xfId="0" applyFont="1" applyBorder="1"/>
    <xf numFmtId="0" fontId="32" fillId="0" borderId="31" xfId="0" applyFont="1" applyBorder="1"/>
    <xf numFmtId="0" fontId="42" fillId="0" borderId="21" xfId="0" applyFont="1" applyBorder="1"/>
    <xf numFmtId="10" fontId="36" fillId="0" borderId="22" xfId="0" applyNumberFormat="1" applyFont="1" applyBorder="1" applyAlignment="1">
      <alignment horizontal="right"/>
    </xf>
    <xf numFmtId="167" fontId="36" fillId="0" borderId="22" xfId="1" applyNumberFormat="1" applyFont="1" applyFill="1" applyBorder="1" applyAlignment="1">
      <alignment horizontal="right"/>
    </xf>
    <xf numFmtId="173" fontId="32" fillId="0" borderId="22" xfId="0" applyNumberFormat="1" applyFont="1" applyBorder="1" applyAlignment="1">
      <alignment horizontal="right"/>
    </xf>
    <xf numFmtId="0" fontId="32" fillId="0" borderId="22" xfId="0" applyFont="1" applyBorder="1" applyAlignment="1">
      <alignment horizontal="right"/>
    </xf>
    <xf numFmtId="0" fontId="32" fillId="4" borderId="21" xfId="0" applyFont="1" applyFill="1" applyBorder="1"/>
    <xf numFmtId="0" fontId="32" fillId="4" borderId="0" xfId="0" applyFont="1" applyFill="1" applyAlignment="1">
      <alignment horizontal="right"/>
    </xf>
    <xf numFmtId="0" fontId="32" fillId="4" borderId="22" xfId="0" applyFont="1" applyFill="1" applyBorder="1" applyAlignment="1">
      <alignment horizontal="right"/>
    </xf>
    <xf numFmtId="0" fontId="31" fillId="0" borderId="0" xfId="0" applyFont="1"/>
    <xf numFmtId="0" fontId="32" fillId="0" borderId="21" xfId="0" applyFont="1" applyBorder="1" applyAlignment="1">
      <alignment horizontal="left" indent="1"/>
    </xf>
    <xf numFmtId="174" fontId="36" fillId="0" borderId="22" xfId="0" applyNumberFormat="1" applyFont="1" applyBorder="1" applyAlignment="1">
      <alignment horizontal="right"/>
    </xf>
    <xf numFmtId="0" fontId="32" fillId="0" borderId="21" xfId="0" applyFont="1" applyBorder="1" applyAlignment="1">
      <alignment horizontal="left" vertical="top" indent="1"/>
    </xf>
    <xf numFmtId="0" fontId="32" fillId="0" borderId="23" xfId="0" applyFont="1" applyBorder="1"/>
    <xf numFmtId="0" fontId="32" fillId="0" borderId="17" xfId="0" applyFont="1" applyBorder="1"/>
    <xf numFmtId="0" fontId="32" fillId="0" borderId="24" xfId="0" applyFont="1" applyBorder="1"/>
    <xf numFmtId="0" fontId="36" fillId="0" borderId="0" xfId="0" applyFont="1"/>
    <xf numFmtId="174" fontId="32" fillId="0" borderId="22" xfId="1" applyNumberFormat="1" applyFont="1" applyBorder="1" applyAlignment="1"/>
    <xf numFmtId="172" fontId="32" fillId="4" borderId="22" xfId="4" applyNumberFormat="1" applyFont="1" applyFill="1" applyBorder="1" applyAlignment="1"/>
    <xf numFmtId="172" fontId="32" fillId="0" borderId="22" xfId="4" applyNumberFormat="1" applyFont="1" applyBorder="1" applyAlignment="1"/>
    <xf numFmtId="0" fontId="32" fillId="4" borderId="21" xfId="0" applyFont="1" applyFill="1" applyBorder="1" applyAlignment="1">
      <alignment horizontal="left" vertical="top"/>
    </xf>
    <xf numFmtId="0" fontId="43" fillId="0" borderId="18" xfId="0" applyFont="1" applyBorder="1"/>
    <xf numFmtId="178" fontId="0" fillId="0" borderId="0" xfId="4" applyNumberFormat="1" applyFont="1"/>
    <xf numFmtId="0" fontId="32" fillId="4" borderId="3" xfId="0" applyFont="1" applyFill="1" applyBorder="1"/>
    <xf numFmtId="0" fontId="32" fillId="4" borderId="2" xfId="0" applyFont="1" applyFill="1" applyBorder="1" applyAlignment="1">
      <alignment horizontal="right"/>
    </xf>
    <xf numFmtId="0" fontId="32" fillId="13" borderId="0" xfId="0" applyFont="1" applyFill="1"/>
    <xf numFmtId="0" fontId="33" fillId="13" borderId="0" xfId="0" applyFont="1" applyFill="1"/>
    <xf numFmtId="0" fontId="32" fillId="14" borderId="0" xfId="0" applyFont="1" applyFill="1"/>
    <xf numFmtId="164" fontId="33" fillId="13" borderId="0" xfId="0" applyNumberFormat="1" applyFont="1" applyFill="1" applyAlignment="1">
      <alignment horizontal="right"/>
    </xf>
    <xf numFmtId="0" fontId="34" fillId="13" borderId="0" xfId="0" applyFont="1" applyFill="1"/>
    <xf numFmtId="165" fontId="34" fillId="13" borderId="0" xfId="0" applyNumberFormat="1" applyFont="1" applyFill="1"/>
    <xf numFmtId="166" fontId="33" fillId="13" borderId="0" xfId="0" applyNumberFormat="1" applyFont="1" applyFill="1"/>
    <xf numFmtId="165" fontId="32" fillId="13" borderId="0" xfId="0" applyNumberFormat="1" applyFont="1" applyFill="1"/>
    <xf numFmtId="10" fontId="33" fillId="13" borderId="0" xfId="0" applyNumberFormat="1" applyFont="1" applyFill="1"/>
    <xf numFmtId="175" fontId="33" fillId="13" borderId="0" xfId="0" applyNumberFormat="1" applyFont="1" applyFill="1"/>
    <xf numFmtId="9" fontId="33" fillId="13" borderId="0" xfId="0" applyNumberFormat="1" applyFont="1" applyFill="1"/>
    <xf numFmtId="165" fontId="33" fillId="13" borderId="0" xfId="0" applyNumberFormat="1" applyFont="1" applyFill="1"/>
    <xf numFmtId="165" fontId="32" fillId="14" borderId="0" xfId="0" applyNumberFormat="1" applyFont="1" applyFill="1"/>
    <xf numFmtId="0" fontId="32" fillId="2" borderId="0" xfId="0" applyFont="1" applyFill="1"/>
    <xf numFmtId="165" fontId="36" fillId="13" borderId="0" xfId="0" applyNumberFormat="1" applyFont="1" applyFill="1"/>
    <xf numFmtId="165" fontId="35" fillId="13" borderId="0" xfId="0" applyNumberFormat="1" applyFont="1" applyFill="1"/>
    <xf numFmtId="14" fontId="33" fillId="13" borderId="0" xfId="0" applyNumberFormat="1" applyFont="1" applyFill="1"/>
    <xf numFmtId="14" fontId="32" fillId="13" borderId="0" xfId="0" applyNumberFormat="1" applyFont="1" applyFill="1"/>
    <xf numFmtId="0" fontId="42" fillId="14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2" fillId="15" borderId="0" xfId="0" applyFont="1" applyFill="1"/>
    <xf numFmtId="165" fontId="32" fillId="15" borderId="0" xfId="0" applyNumberFormat="1" applyFont="1" applyFill="1"/>
    <xf numFmtId="8" fontId="32" fillId="15" borderId="0" xfId="0" applyNumberFormat="1" applyFont="1" applyFill="1"/>
    <xf numFmtId="0" fontId="42" fillId="15" borderId="0" xfId="0" applyFont="1" applyFill="1"/>
    <xf numFmtId="43" fontId="32" fillId="13" borderId="0" xfId="0" applyNumberFormat="1" applyFont="1" applyFill="1"/>
    <xf numFmtId="3" fontId="30" fillId="2" borderId="34" xfId="0" applyNumberFormat="1" applyFont="1" applyFill="1" applyBorder="1"/>
    <xf numFmtId="3" fontId="35" fillId="4" borderId="33" xfId="0" applyNumberFormat="1" applyFont="1" applyFill="1" applyBorder="1"/>
    <xf numFmtId="0" fontId="32" fillId="13" borderId="34" xfId="0" applyFont="1" applyFill="1" applyBorder="1"/>
    <xf numFmtId="0" fontId="37" fillId="13" borderId="0" xfId="0" applyFont="1" applyFill="1" applyAlignment="1">
      <alignment horizontal="right" vertical="center"/>
    </xf>
    <xf numFmtId="164" fontId="38" fillId="13" borderId="0" xfId="0" applyNumberFormat="1" applyFont="1" applyFill="1"/>
    <xf numFmtId="0" fontId="32" fillId="13" borderId="0" xfId="0" applyFont="1" applyFill="1" applyAlignment="1">
      <alignment horizontal="center"/>
    </xf>
    <xf numFmtId="0" fontId="30" fillId="2" borderId="34" xfId="0" applyFont="1" applyFill="1" applyBorder="1" applyAlignment="1">
      <alignment horizontal="left"/>
    </xf>
    <xf numFmtId="3" fontId="35" fillId="4" borderId="34" xfId="0" applyNumberFormat="1" applyFont="1" applyFill="1" applyBorder="1"/>
    <xf numFmtId="0" fontId="39" fillId="13" borderId="34" xfId="0" applyFont="1" applyFill="1" applyBorder="1"/>
    <xf numFmtId="0" fontId="39" fillId="13" borderId="21" xfId="0" applyFont="1" applyFill="1" applyBorder="1"/>
    <xf numFmtId="3" fontId="33" fillId="13" borderId="0" xfId="0" applyNumberFormat="1" applyFont="1" applyFill="1" applyAlignment="1">
      <alignment horizontal="center"/>
    </xf>
    <xf numFmtId="165" fontId="32" fillId="13" borderId="0" xfId="0" applyNumberFormat="1" applyFont="1" applyFill="1" applyAlignment="1">
      <alignment horizontal="right"/>
    </xf>
    <xf numFmtId="0" fontId="39" fillId="13" borderId="35" xfId="0" applyFont="1" applyFill="1" applyBorder="1"/>
    <xf numFmtId="1" fontId="34" fillId="13" borderId="35" xfId="0" applyNumberFormat="1" applyFont="1" applyFill="1" applyBorder="1" applyAlignment="1">
      <alignment horizontal="left"/>
    </xf>
    <xf numFmtId="1" fontId="32" fillId="13" borderId="35" xfId="0" applyNumberFormat="1" applyFont="1" applyFill="1" applyBorder="1" applyAlignment="1">
      <alignment horizontal="left"/>
    </xf>
    <xf numFmtId="171" fontId="32" fillId="13" borderId="0" xfId="0" applyNumberFormat="1" applyFont="1" applyFill="1"/>
    <xf numFmtId="164" fontId="32" fillId="13" borderId="0" xfId="0" applyNumberFormat="1" applyFont="1" applyFill="1"/>
    <xf numFmtId="0" fontId="41" fillId="13" borderId="0" xfId="0" applyFont="1" applyFill="1"/>
    <xf numFmtId="0" fontId="0" fillId="0" borderId="17" xfId="0" applyBorder="1"/>
    <xf numFmtId="0" fontId="36" fillId="0" borderId="21" xfId="0" applyFont="1" applyBorder="1"/>
    <xf numFmtId="0" fontId="44" fillId="0" borderId="0" xfId="0" applyFont="1" applyAlignment="1">
      <alignment horizontal="left" vertical="center" indent="1"/>
    </xf>
    <xf numFmtId="0" fontId="45" fillId="13" borderId="29" xfId="0" applyFont="1" applyFill="1" applyBorder="1"/>
    <xf numFmtId="0" fontId="45" fillId="0" borderId="0" xfId="0" applyFont="1"/>
    <xf numFmtId="0" fontId="6" fillId="0" borderId="0" xfId="0" applyFont="1" applyAlignment="1">
      <alignment horizontal="left" indent="1"/>
    </xf>
    <xf numFmtId="0" fontId="2" fillId="16" borderId="0" xfId="0" applyFont="1" applyFill="1"/>
    <xf numFmtId="0" fontId="2" fillId="17" borderId="0" xfId="0" applyFont="1" applyFill="1"/>
    <xf numFmtId="44" fontId="0" fillId="0" borderId="0" xfId="4" applyFont="1"/>
    <xf numFmtId="0" fontId="32" fillId="0" borderId="8" xfId="0" applyFont="1" applyBorder="1"/>
    <xf numFmtId="0" fontId="32" fillId="0" borderId="2" xfId="0" applyFont="1" applyBorder="1"/>
    <xf numFmtId="0" fontId="32" fillId="0" borderId="11" xfId="0" applyFont="1" applyBorder="1"/>
    <xf numFmtId="174" fontId="32" fillId="0" borderId="13" xfId="0" applyNumberFormat="1" applyFont="1" applyBorder="1" applyAlignment="1">
      <alignment horizontal="right" vertical="center"/>
    </xf>
    <xf numFmtId="166" fontId="32" fillId="0" borderId="15" xfId="0" applyNumberFormat="1" applyFont="1" applyBorder="1" applyAlignment="1">
      <alignment horizontal="right" vertical="center"/>
    </xf>
    <xf numFmtId="178" fontId="32" fillId="0" borderId="16" xfId="4" applyNumberFormat="1" applyFont="1" applyBorder="1" applyAlignment="1">
      <alignment horizontal="right" vertical="center"/>
    </xf>
    <xf numFmtId="0" fontId="30" fillId="18" borderId="1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/>
    </xf>
    <xf numFmtId="0" fontId="30" fillId="18" borderId="7" xfId="0" applyFont="1" applyFill="1" applyBorder="1"/>
    <xf numFmtId="0" fontId="30" fillId="18" borderId="8" xfId="0" applyFont="1" applyFill="1" applyBorder="1"/>
    <xf numFmtId="0" fontId="30" fillId="18" borderId="3" xfId="0" applyFont="1" applyFill="1" applyBorder="1" applyAlignment="1">
      <alignment horizontal="left" vertical="center"/>
    </xf>
    <xf numFmtId="0" fontId="30" fillId="18" borderId="9" xfId="0" applyFont="1" applyFill="1" applyBorder="1" applyAlignment="1">
      <alignment horizontal="left" vertical="center"/>
    </xf>
    <xf numFmtId="0" fontId="30" fillId="18" borderId="7" xfId="0" applyFont="1" applyFill="1" applyBorder="1" applyAlignment="1">
      <alignment horizontal="left" vertical="center" indent="1"/>
    </xf>
    <xf numFmtId="9" fontId="34" fillId="0" borderId="1" xfId="2" applyFont="1" applyBorder="1" applyAlignment="1">
      <alignment horizontal="right" vertical="center"/>
    </xf>
    <xf numFmtId="0" fontId="34" fillId="0" borderId="7" xfId="0" applyFont="1" applyBorder="1"/>
    <xf numFmtId="9" fontId="34" fillId="0" borderId="3" xfId="0" applyNumberFormat="1" applyFont="1" applyBorder="1" applyAlignment="1">
      <alignment horizontal="right" vertical="center"/>
    </xf>
    <xf numFmtId="0" fontId="34" fillId="0" borderId="0" xfId="0" applyFont="1"/>
    <xf numFmtId="9" fontId="34" fillId="0" borderId="9" xfId="2" applyFont="1" applyBorder="1" applyAlignment="1">
      <alignment horizontal="right" vertical="center"/>
    </xf>
    <xf numFmtId="0" fontId="34" fillId="0" borderId="10" xfId="0" applyFont="1" applyBorder="1"/>
    <xf numFmtId="0" fontId="34" fillId="13" borderId="21" xfId="0" applyFont="1" applyFill="1" applyBorder="1" applyAlignment="1">
      <alignment horizontal="left" vertical="top" indent="1"/>
    </xf>
    <xf numFmtId="10" fontId="34" fillId="13" borderId="22" xfId="2" applyNumberFormat="1" applyFont="1" applyFill="1" applyBorder="1" applyAlignment="1"/>
    <xf numFmtId="0" fontId="32" fillId="13" borderId="21" xfId="0" applyFont="1" applyFill="1" applyBorder="1" applyAlignment="1">
      <alignment horizontal="left" indent="1"/>
    </xf>
    <xf numFmtId="172" fontId="32" fillId="13" borderId="22" xfId="4" applyNumberFormat="1" applyFont="1" applyFill="1" applyBorder="1" applyAlignment="1"/>
    <xf numFmtId="0" fontId="32" fillId="13" borderId="21" xfId="0" applyFont="1" applyFill="1" applyBorder="1" applyAlignment="1">
      <alignment horizontal="left" vertical="top" indent="1"/>
    </xf>
    <xf numFmtId="10" fontId="32" fillId="13" borderId="22" xfId="2" applyNumberFormat="1" applyFont="1" applyFill="1" applyBorder="1" applyAlignment="1"/>
    <xf numFmtId="0" fontId="42" fillId="0" borderId="0" xfId="0" applyFont="1"/>
    <xf numFmtId="14" fontId="36" fillId="0" borderId="0" xfId="0" applyNumberFormat="1" applyFont="1" applyAlignment="1">
      <alignment horizontal="right"/>
    </xf>
    <xf numFmtId="0" fontId="32" fillId="4" borderId="0" xfId="0" applyFont="1" applyFill="1"/>
    <xf numFmtId="0" fontId="32" fillId="0" borderId="0" xfId="0" applyFont="1" applyAlignment="1">
      <alignment horizontal="left" indent="1"/>
    </xf>
    <xf numFmtId="0" fontId="32" fillId="0" borderId="0" xfId="0" applyFont="1" applyAlignment="1">
      <alignment horizontal="left" vertical="top" indent="1"/>
    </xf>
    <xf numFmtId="0" fontId="32" fillId="4" borderId="0" xfId="0" applyFont="1" applyFill="1" applyAlignment="1">
      <alignment horizontal="left" vertical="top"/>
    </xf>
    <xf numFmtId="0" fontId="32" fillId="0" borderId="0" xfId="0" applyFont="1" applyAlignment="1">
      <alignment horizontal="left" vertical="top"/>
    </xf>
    <xf numFmtId="10" fontId="32" fillId="0" borderId="22" xfId="2" applyNumberFormat="1" applyFont="1" applyBorder="1" applyAlignment="1"/>
    <xf numFmtId="0" fontId="47" fillId="3" borderId="21" xfId="0" applyFont="1" applyFill="1" applyBorder="1"/>
    <xf numFmtId="0" fontId="35" fillId="3" borderId="0" xfId="0" applyFont="1" applyFill="1"/>
    <xf numFmtId="10" fontId="35" fillId="3" borderId="22" xfId="2" applyNumberFormat="1" applyFont="1" applyFill="1" applyBorder="1" applyAlignment="1"/>
    <xf numFmtId="0" fontId="35" fillId="3" borderId="21" xfId="0" applyFont="1" applyFill="1" applyBorder="1" applyAlignment="1">
      <alignment horizontal="left" vertical="top" indent="1"/>
    </xf>
    <xf numFmtId="180" fontId="35" fillId="3" borderId="22" xfId="2" applyNumberFormat="1" applyFont="1" applyFill="1" applyBorder="1" applyAlignment="1">
      <alignment horizontal="right" indent="1"/>
    </xf>
    <xf numFmtId="0" fontId="36" fillId="3" borderId="0" xfId="0" applyFont="1" applyFill="1"/>
    <xf numFmtId="181" fontId="35" fillId="3" borderId="22" xfId="2" applyNumberFormat="1" applyFont="1" applyFill="1" applyBorder="1" applyAlignment="1">
      <alignment horizontal="right" indent="1"/>
    </xf>
    <xf numFmtId="182" fontId="35" fillId="3" borderId="22" xfId="2" applyNumberFormat="1" applyFont="1" applyFill="1" applyBorder="1" applyAlignment="1">
      <alignment horizontal="right" indent="1"/>
    </xf>
    <xf numFmtId="0" fontId="35" fillId="3" borderId="23" xfId="0" applyFont="1" applyFill="1" applyBorder="1" applyAlignment="1">
      <alignment horizontal="left" vertical="top" indent="1"/>
    </xf>
    <xf numFmtId="0" fontId="35" fillId="3" borderId="17" xfId="0" applyFont="1" applyFill="1" applyBorder="1"/>
    <xf numFmtId="183" fontId="35" fillId="3" borderId="24" xfId="2" applyNumberFormat="1" applyFont="1" applyFill="1" applyBorder="1" applyAlignment="1">
      <alignment horizontal="right" indent="1"/>
    </xf>
    <xf numFmtId="10" fontId="34" fillId="0" borderId="22" xfId="2" applyNumberFormat="1" applyFont="1" applyBorder="1" applyAlignment="1"/>
    <xf numFmtId="10" fontId="32" fillId="0" borderId="0" xfId="2" quotePrefix="1" applyNumberFormat="1" applyFont="1" applyBorder="1"/>
    <xf numFmtId="10" fontId="32" fillId="0" borderId="3" xfId="2" quotePrefix="1" applyNumberFormat="1" applyFont="1" applyBorder="1"/>
    <xf numFmtId="10" fontId="32" fillId="0" borderId="1" xfId="2" quotePrefix="1" applyNumberFormat="1" applyFont="1" applyBorder="1"/>
    <xf numFmtId="10" fontId="32" fillId="0" borderId="7" xfId="2" quotePrefix="1" applyNumberFormat="1" applyFont="1" applyBorder="1"/>
    <xf numFmtId="179" fontId="32" fillId="0" borderId="5" xfId="0" applyNumberFormat="1" applyFont="1" applyBorder="1"/>
    <xf numFmtId="179" fontId="32" fillId="0" borderId="15" xfId="0" applyNumberFormat="1" applyFont="1" applyBorder="1"/>
    <xf numFmtId="10" fontId="48" fillId="0" borderId="1" xfId="2" quotePrefix="1" applyNumberFormat="1" applyFont="1" applyBorder="1"/>
    <xf numFmtId="0" fontId="32" fillId="0" borderId="0" xfId="0" applyFont="1" applyAlignment="1">
      <alignment horizontal="right"/>
    </xf>
    <xf numFmtId="0" fontId="33" fillId="0" borderId="0" xfId="0" applyFont="1"/>
    <xf numFmtId="179" fontId="33" fillId="0" borderId="0" xfId="0" applyNumberFormat="1" applyFont="1" applyAlignment="1">
      <alignment horizontal="left"/>
    </xf>
    <xf numFmtId="184" fontId="33" fillId="13" borderId="0" xfId="0" applyNumberFormat="1" applyFont="1" applyFill="1"/>
    <xf numFmtId="185" fontId="36" fillId="13" borderId="0" xfId="0" applyNumberFormat="1" applyFont="1" applyFill="1"/>
    <xf numFmtId="185" fontId="32" fillId="13" borderId="0" xfId="0" applyNumberFormat="1" applyFont="1" applyFill="1"/>
    <xf numFmtId="165" fontId="35" fillId="13" borderId="10" xfId="0" applyNumberFormat="1" applyFont="1" applyFill="1" applyBorder="1"/>
    <xf numFmtId="179" fontId="33" fillId="0" borderId="15" xfId="0" applyNumberFormat="1" applyFont="1" applyBorder="1"/>
    <xf numFmtId="176" fontId="0" fillId="0" borderId="0" xfId="1" applyNumberFormat="1" applyFont="1"/>
    <xf numFmtId="43" fontId="0" fillId="0" borderId="0" xfId="0" applyNumberFormat="1"/>
    <xf numFmtId="176" fontId="0" fillId="0" borderId="0" xfId="0" applyNumberFormat="1"/>
    <xf numFmtId="10" fontId="30" fillId="2" borderId="21" xfId="0" applyNumberFormat="1" applyFont="1" applyFill="1" applyBorder="1" applyAlignment="1">
      <alignment horizontal="left"/>
    </xf>
    <xf numFmtId="0" fontId="30" fillId="2" borderId="0" xfId="0" applyFont="1" applyFill="1" applyAlignment="1">
      <alignment horizontal="left"/>
    </xf>
    <xf numFmtId="0" fontId="30" fillId="2" borderId="22" xfId="0" applyFont="1" applyFill="1" applyBorder="1" applyAlignment="1">
      <alignment horizontal="left"/>
    </xf>
    <xf numFmtId="0" fontId="30" fillId="2" borderId="21" xfId="0" applyFont="1" applyFill="1" applyBorder="1" applyAlignment="1">
      <alignment horizontal="left"/>
    </xf>
    <xf numFmtId="0" fontId="32" fillId="0" borderId="0" xfId="2" applyNumberFormat="1" applyFont="1" applyBorder="1" applyAlignment="1">
      <alignment horizontal="left" vertical="top" wrapText="1"/>
    </xf>
    <xf numFmtId="0" fontId="32" fillId="0" borderId="22" xfId="2" applyNumberFormat="1" applyFont="1" applyBorder="1" applyAlignment="1">
      <alignment horizontal="left" vertical="top" wrapText="1"/>
    </xf>
    <xf numFmtId="0" fontId="32" fillId="0" borderId="17" xfId="2" applyNumberFormat="1" applyFont="1" applyBorder="1" applyAlignment="1">
      <alignment horizontal="left" vertical="top" wrapText="1"/>
    </xf>
    <xf numFmtId="0" fontId="32" fillId="0" borderId="24" xfId="2" applyNumberFormat="1" applyFont="1" applyBorder="1" applyAlignment="1">
      <alignment horizontal="left" vertical="top" wrapText="1"/>
    </xf>
    <xf numFmtId="0" fontId="34" fillId="0" borderId="21" xfId="0" applyFont="1" applyBorder="1" applyAlignment="1">
      <alignment horizontal="center" textRotation="90" wrapText="1"/>
    </xf>
    <xf numFmtId="0" fontId="34" fillId="0" borderId="0" xfId="0" applyFont="1" applyAlignment="1">
      <alignment horizontal="center"/>
    </xf>
    <xf numFmtId="0" fontId="46" fillId="14" borderId="32" xfId="0" applyFont="1" applyFill="1" applyBorder="1" applyAlignment="1">
      <alignment horizontal="center"/>
    </xf>
    <xf numFmtId="0" fontId="46" fillId="15" borderId="32" xfId="0" applyFont="1" applyFill="1" applyBorder="1" applyAlignment="1">
      <alignment horizontal="center"/>
    </xf>
    <xf numFmtId="0" fontId="32" fillId="14" borderId="10" xfId="0" applyFont="1" applyFill="1" applyBorder="1" applyAlignment="1">
      <alignment horizontal="center"/>
    </xf>
    <xf numFmtId="0" fontId="38" fillId="13" borderId="7" xfId="0" applyFont="1" applyFill="1" applyBorder="1" applyAlignment="1">
      <alignment horizontal="center" vertical="center" wrapText="1"/>
    </xf>
    <xf numFmtId="0" fontId="38" fillId="13" borderId="0" xfId="0" applyFont="1" applyFill="1" applyAlignment="1">
      <alignment horizontal="center" vertical="center" wrapText="1"/>
    </xf>
    <xf numFmtId="0" fontId="38" fillId="13" borderId="1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 readingOrder="1"/>
    </xf>
    <xf numFmtId="0" fontId="14" fillId="5" borderId="8" xfId="0" applyFont="1" applyFill="1" applyBorder="1" applyAlignment="1">
      <alignment horizontal="center" wrapText="1" readingOrder="1"/>
    </xf>
    <xf numFmtId="0" fontId="14" fillId="5" borderId="7" xfId="0" applyFont="1" applyFill="1" applyBorder="1" applyAlignment="1">
      <alignment horizontal="center" wrapText="1" readingOrder="1"/>
    </xf>
    <xf numFmtId="0" fontId="4" fillId="5" borderId="1" xfId="0" applyFont="1" applyFill="1" applyBorder="1" applyAlignment="1">
      <alignment horizontal="left" wrapText="1" readingOrder="1"/>
    </xf>
    <xf numFmtId="0" fontId="4" fillId="5" borderId="7" xfId="0" applyFont="1" applyFill="1" applyBorder="1" applyAlignment="1">
      <alignment horizontal="left" wrapText="1" readingOrder="1"/>
    </xf>
  </cellXfs>
  <cellStyles count="21">
    <cellStyle name="% complete" xfId="14" xr:uid="{9D1F405A-6955-452E-9E23-F3181822F478}"/>
    <cellStyle name="% complete (beyond plan) legend" xfId="16" xr:uid="{3B81A14B-EC48-48A9-B0BC-447BE9E4B4D0}"/>
    <cellStyle name="Activity" xfId="19" xr:uid="{CD3FD77B-BA7B-4747-9FBD-AE9BF14D723B}"/>
    <cellStyle name="Actual (beyond plan) legend" xfId="15" xr:uid="{757C78E4-74FE-4791-838E-0EC365DB4794}"/>
    <cellStyle name="Actual legend" xfId="13" xr:uid="{54B706A6-23E2-44B5-958B-9D61B8646ECD}"/>
    <cellStyle name="Comma" xfId="1" builtinId="3"/>
    <cellStyle name="Currency" xfId="4" builtinId="4"/>
    <cellStyle name="Date" xfId="8" xr:uid="{4A4145A2-F67E-4AA0-BF8E-263A4AD8C6B2}"/>
    <cellStyle name="Hyperlink" xfId="3" builtinId="8"/>
    <cellStyle name="Label" xfId="12" xr:uid="{40988227-4EC5-4B6F-97AD-5602370C841B}"/>
    <cellStyle name="Normal" xfId="0" builtinId="0"/>
    <cellStyle name="Normal 2" xfId="5" xr:uid="{B8E03598-DE87-4F79-AABA-5742647A2B64}"/>
    <cellStyle name="Percent" xfId="2" builtinId="5"/>
    <cellStyle name="Percent 2" xfId="6" xr:uid="{557676E3-79A3-4F41-A3B2-3DC3FD0B83CD}"/>
    <cellStyle name="Percent Complete" xfId="20" xr:uid="{C1F9F07A-C442-420F-AC09-3FDFC5BC0437}"/>
    <cellStyle name="Period Headers" xfId="18" xr:uid="{6E8B10A9-0C59-4EA0-ADDB-5AF6AB034592}"/>
    <cellStyle name="Period Highlight Control" xfId="9" xr:uid="{2F091A2C-AF0E-4C8E-A04D-3384AD14D6E9}"/>
    <cellStyle name="Period Value" xfId="10" xr:uid="{9F4FAF17-82CC-4EEB-8C2E-16F3977E2026}"/>
    <cellStyle name="Plan legend" xfId="11" xr:uid="{14B3E948-2ED1-4A4F-B9F7-65EDFBB0810B}"/>
    <cellStyle name="Project Headers" xfId="17" xr:uid="{59FB07F7-C80B-46CE-9EA7-8E9C8D1D4490}"/>
    <cellStyle name="zHiddenText" xfId="7" xr:uid="{AA0F7650-E79C-449E-87FF-D0E214E228E0}"/>
  </cellStyles>
  <dxfs count="6">
    <dxf>
      <font>
        <color rgb="FF006100"/>
      </font>
      <fill>
        <patternFill>
          <bgColor rgb="FFC6EFCE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ntt Table Style" pivot="0" count="5" xr9:uid="{572D466C-6E18-4EA7-9A6A-A58713FE82B6}">
      <tableStyleElement type="wholeTable" dxfId="5"/>
      <tableStyleElement type="headerRow" dxfId="4"/>
      <tableStyleElement type="firstRowStripe" dxfId="3"/>
      <tableStyleElement type="firstColumn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Summary!$C$20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Summary!$B$21:$B$28</c:f>
              <c:strCache>
                <c:ptCount val="8"/>
                <c:pt idx="0">
                  <c:v>Modular - Acquisition and Planning</c:v>
                </c:pt>
                <c:pt idx="1">
                  <c:v>Modular - Construction</c:v>
                </c:pt>
                <c:pt idx="2">
                  <c:v>Modular - Modular Manufacturing</c:v>
                </c:pt>
                <c:pt idx="3">
                  <c:v>Modular - Stabilization and Disposition</c:v>
                </c:pt>
                <c:pt idx="5">
                  <c:v>Traditional - Acquisition and Planning</c:v>
                </c:pt>
                <c:pt idx="6">
                  <c:v>Traditional - Construction</c:v>
                </c:pt>
                <c:pt idx="7">
                  <c:v>Traditional - Stabilization and Disposition</c:v>
                </c:pt>
              </c:strCache>
            </c:strRef>
          </c:cat>
          <c:val>
            <c:numRef>
              <c:f>Summary!$C$21:$C$28</c:f>
              <c:numCache>
                <c:formatCode>m/d/yy</c:formatCode>
                <c:ptCount val="8"/>
                <c:pt idx="0">
                  <c:v>45292</c:v>
                </c:pt>
                <c:pt idx="1">
                  <c:v>45474</c:v>
                </c:pt>
                <c:pt idx="2">
                  <c:v>45505</c:v>
                </c:pt>
                <c:pt idx="3">
                  <c:v>45839</c:v>
                </c:pt>
                <c:pt idx="5">
                  <c:v>45292</c:v>
                </c:pt>
                <c:pt idx="6">
                  <c:v>45474</c:v>
                </c:pt>
                <c:pt idx="7">
                  <c:v>46023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E-4142-92D9-3D7B76C3A656}"/>
            </c:ext>
          </c:extLst>
        </c:ser>
        <c:ser>
          <c:idx val="1"/>
          <c:order val="1"/>
          <c:tx>
            <c:strRef>
              <c:f>Summary!$E$20</c:f>
              <c:strCache>
                <c:ptCount val="1"/>
                <c:pt idx="0">
                  <c:v>Duration in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CE-4142-92D9-3D7B76C3A65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CE-4142-92D9-3D7B76C3A65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CE-4142-92D9-3D7B76C3A65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CE-4142-92D9-3D7B76C3A65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CE-4142-92D9-3D7B76C3A65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ACE-4142-92D9-3D7B76C3A65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ACE-4142-92D9-3D7B76C3A656}"/>
              </c:ext>
            </c:extLst>
          </c:dPt>
          <c:val>
            <c:numRef>
              <c:f>Summary!$E$21:$E$28</c:f>
              <c:numCache>
                <c:formatCode>General</c:formatCode>
                <c:ptCount val="8"/>
                <c:pt idx="0">
                  <c:v>182.62200000000001</c:v>
                </c:pt>
                <c:pt idx="1">
                  <c:v>365.24400000000003</c:v>
                </c:pt>
                <c:pt idx="2">
                  <c:v>152.185</c:v>
                </c:pt>
                <c:pt idx="3">
                  <c:v>365.24400000000003</c:v>
                </c:pt>
                <c:pt idx="5">
                  <c:v>182.62200000000001</c:v>
                </c:pt>
                <c:pt idx="6">
                  <c:v>547.86599999999999</c:v>
                </c:pt>
                <c:pt idx="7">
                  <c:v>365.24400000000003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CE-4142-92D9-3D7B76C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6967104"/>
        <c:axId val="2016967584"/>
      </c:barChart>
      <c:catAx>
        <c:axId val="2016967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967584"/>
        <c:crosses val="autoZero"/>
        <c:auto val="1"/>
        <c:lblAlgn val="ctr"/>
        <c:lblOffset val="100"/>
        <c:noMultiLvlLbl val="0"/>
      </c:catAx>
      <c:valAx>
        <c:axId val="2016967584"/>
        <c:scaling>
          <c:orientation val="minMax"/>
          <c:min val="4529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96710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Graphics!$B$10</c:f>
              <c:strCache>
                <c:ptCount val="1"/>
                <c:pt idx="0">
                  <c:v>Modular</c:v>
                </c:pt>
              </c:strCache>
            </c:strRef>
          </c:tx>
          <c:spPr>
            <a:ln w="38100" cap="flat" cmpd="dbl" algn="ctr">
              <a:solidFill>
                <a:schemeClr val="bg2">
                  <a:lumMod val="5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Graphics!$C$10:$AO$10</c:f>
              <c:numCache>
                <c:formatCode>_("$"* #,##0_);_("$"* \(#,##0\);_("$"* "-"??_);_(@_)</c:formatCode>
                <c:ptCount val="39"/>
                <c:pt idx="0">
                  <c:v>5366485.786974377</c:v>
                </c:pt>
                <c:pt idx="1">
                  <c:v>5524485.786974377</c:v>
                </c:pt>
                <c:pt idx="2">
                  <c:v>5682485.786974377</c:v>
                </c:pt>
                <c:pt idx="3">
                  <c:v>5840485.786974377</c:v>
                </c:pt>
                <c:pt idx="4">
                  <c:v>5998485.786974377</c:v>
                </c:pt>
                <c:pt idx="5">
                  <c:v>6156485.786974377</c:v>
                </c:pt>
                <c:pt idx="6">
                  <c:v>6314485.786974377</c:v>
                </c:pt>
                <c:pt idx="7">
                  <c:v>7522485.786974377</c:v>
                </c:pt>
                <c:pt idx="8">
                  <c:v>11880485.786974378</c:v>
                </c:pt>
                <c:pt idx="9">
                  <c:v>14985730.295976551</c:v>
                </c:pt>
                <c:pt idx="10">
                  <c:v>18111815.372345924</c:v>
                </c:pt>
                <c:pt idx="11">
                  <c:v>21258880.885660231</c:v>
                </c:pt>
                <c:pt idx="12">
                  <c:v>24427067.644219223</c:v>
                </c:pt>
                <c:pt idx="13">
                  <c:v>27616517.401344806</c:v>
                </c:pt>
                <c:pt idx="14">
                  <c:v>28924688.297965087</c:v>
                </c:pt>
                <c:pt idx="15">
                  <c:v>30241638.865215749</c:v>
                </c:pt>
                <c:pt idx="16">
                  <c:v>31567428.027058911</c:v>
                </c:pt>
                <c:pt idx="17">
                  <c:v>32902115.102919526</c:v>
                </c:pt>
                <c:pt idx="18">
                  <c:v>34245759.81033951</c:v>
                </c:pt>
                <c:pt idx="19">
                  <c:v>34365674.001946017</c:v>
                </c:pt>
                <c:pt idx="20">
                  <c:v>34469752.103805609</c:v>
                </c:pt>
                <c:pt idx="21">
                  <c:v>34557887.833434969</c:v>
                </c:pt>
                <c:pt idx="22">
                  <c:v>34629974.195045538</c:v>
                </c:pt>
                <c:pt idx="23">
                  <c:v>34685903.474756226</c:v>
                </c:pt>
                <c:pt idx="24">
                  <c:v>34725567.235774003</c:v>
                </c:pt>
                <c:pt idx="25">
                  <c:v>34745120.825806059</c:v>
                </c:pt>
                <c:pt idx="26">
                  <c:v>34747631.12389107</c:v>
                </c:pt>
                <c:pt idx="27">
                  <c:v>34747631.12389107</c:v>
                </c:pt>
                <c:pt idx="28">
                  <c:v>34747631.12389107</c:v>
                </c:pt>
                <c:pt idx="29">
                  <c:v>34747631.12389107</c:v>
                </c:pt>
                <c:pt idx="30">
                  <c:v>34747631.12389107</c:v>
                </c:pt>
                <c:pt idx="31">
                  <c:v>34747631.12389107</c:v>
                </c:pt>
                <c:pt idx="32">
                  <c:v>34747631.12389107</c:v>
                </c:pt>
                <c:pt idx="33">
                  <c:v>34747631.12389107</c:v>
                </c:pt>
                <c:pt idx="34">
                  <c:v>34747631.12389107</c:v>
                </c:pt>
                <c:pt idx="35">
                  <c:v>34747631.12389107</c:v>
                </c:pt>
                <c:pt idx="36">
                  <c:v>34747631.12389107</c:v>
                </c:pt>
                <c:pt idx="37">
                  <c:v>34747631.12389107</c:v>
                </c:pt>
                <c:pt idx="38">
                  <c:v>34747631.12389107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3-4B73-8D38-C22572AB4507}"/>
            </c:ext>
          </c:extLst>
        </c:ser>
        <c:ser>
          <c:idx val="1"/>
          <c:order val="1"/>
          <c:tx>
            <c:strRef>
              <c:f>Graphics!$B$11</c:f>
              <c:strCache>
                <c:ptCount val="1"/>
                <c:pt idx="0">
                  <c:v>Traditional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Graphics!$C$11:$AO$11</c:f>
              <c:numCache>
                <c:formatCode>_("$"* #,##0_);_("$"* \(#,##0\);_("$"* "-"??_);_(@_)</c:formatCode>
                <c:ptCount val="39"/>
                <c:pt idx="0">
                  <c:v>5329076.0731086107</c:v>
                </c:pt>
                <c:pt idx="1">
                  <c:v>5449156.0731086107</c:v>
                </c:pt>
                <c:pt idx="2">
                  <c:v>5569236.0731086107</c:v>
                </c:pt>
                <c:pt idx="3">
                  <c:v>5689316.0731086107</c:v>
                </c:pt>
                <c:pt idx="4">
                  <c:v>5809396.0731086107</c:v>
                </c:pt>
                <c:pt idx="5">
                  <c:v>5929476.0731086107</c:v>
                </c:pt>
                <c:pt idx="6">
                  <c:v>6049556.0731086107</c:v>
                </c:pt>
                <c:pt idx="7">
                  <c:v>7569636.0731086107</c:v>
                </c:pt>
                <c:pt idx="8">
                  <c:v>9089716.0731086098</c:v>
                </c:pt>
                <c:pt idx="9">
                  <c:v>10609796.07310861</c:v>
                </c:pt>
                <c:pt idx="10">
                  <c:v>12129876.07310861</c:v>
                </c:pt>
                <c:pt idx="11">
                  <c:v>13649956.07310861</c:v>
                </c:pt>
                <c:pt idx="12">
                  <c:v>15178337.848983092</c:v>
                </c:pt>
                <c:pt idx="13">
                  <c:v>16716977.220582247</c:v>
                </c:pt>
                <c:pt idx="14">
                  <c:v>18265943.030831639</c:v>
                </c:pt>
                <c:pt idx="15">
                  <c:v>19825304.584689874</c:v>
                </c:pt>
                <c:pt idx="16">
                  <c:v>21395131.652249482</c:v>
                </c:pt>
                <c:pt idx="17">
                  <c:v>22975494.471858624</c:v>
                </c:pt>
                <c:pt idx="18">
                  <c:v>24566463.753263757</c:v>
                </c:pt>
                <c:pt idx="19">
                  <c:v>26168110.680773363</c:v>
                </c:pt>
                <c:pt idx="20">
                  <c:v>27780506.916442946</c:v>
                </c:pt>
                <c:pt idx="21">
                  <c:v>29403724.603281379</c:v>
                </c:pt>
                <c:pt idx="22">
                  <c:v>31037836.368478782</c:v>
                </c:pt>
                <c:pt idx="23">
                  <c:v>32682915.326656058</c:v>
                </c:pt>
                <c:pt idx="24">
                  <c:v>34339035.083136246</c:v>
                </c:pt>
                <c:pt idx="25">
                  <c:v>34458813.333784722</c:v>
                </c:pt>
                <c:pt idx="26">
                  <c:v>34562220.940979436</c:v>
                </c:pt>
                <c:pt idx="27">
                  <c:v>34649148.034631059</c:v>
                </c:pt>
                <c:pt idx="28">
                  <c:v>34719484.007267088</c:v>
                </c:pt>
                <c:pt idx="29">
                  <c:v>34773117.50908298</c:v>
                </c:pt>
                <c:pt idx="30">
                  <c:v>34809936.442960031</c:v>
                </c:pt>
                <c:pt idx="31">
                  <c:v>34829827.95944988</c:v>
                </c:pt>
                <c:pt idx="32">
                  <c:v>34832678.264306933</c:v>
                </c:pt>
                <c:pt idx="33">
                  <c:v>34832678.264306933</c:v>
                </c:pt>
                <c:pt idx="34">
                  <c:v>34832678.264306933</c:v>
                </c:pt>
                <c:pt idx="35">
                  <c:v>34832678.264306933</c:v>
                </c:pt>
                <c:pt idx="36">
                  <c:v>34832678.264306933</c:v>
                </c:pt>
                <c:pt idx="37">
                  <c:v>34832678.264306933</c:v>
                </c:pt>
                <c:pt idx="38">
                  <c:v>34832678.264306933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3-4B73-8D38-C22572AB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21247"/>
        <c:axId val="1705935167"/>
      </c:lineChart>
      <c:catAx>
        <c:axId val="170592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5167"/>
        <c:crosses val="autoZero"/>
        <c:auto val="1"/>
        <c:lblAlgn val="ctr"/>
        <c:lblOffset val="100"/>
        <c:tickMarkSkip val="1"/>
        <c:noMultiLvlLbl val="0"/>
      </c:catAx>
      <c:valAx>
        <c:axId val="170593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2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dEVELOPMENT SPEND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Graphics!$B$10</c:f>
              <c:strCache>
                <c:ptCount val="1"/>
                <c:pt idx="0">
                  <c:v>Modular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Graphics!$C$10:$AO$10</c:f>
              <c:numCache>
                <c:formatCode>_("$"* #,##0_);_("$"* \(#,##0\);_("$"* "-"??_);_(@_)</c:formatCode>
                <c:ptCount val="39"/>
                <c:pt idx="0">
                  <c:v>5366485.786974377</c:v>
                </c:pt>
                <c:pt idx="1">
                  <c:v>5524485.786974377</c:v>
                </c:pt>
                <c:pt idx="2">
                  <c:v>5682485.786974377</c:v>
                </c:pt>
                <c:pt idx="3">
                  <c:v>5840485.786974377</c:v>
                </c:pt>
                <c:pt idx="4">
                  <c:v>5998485.786974377</c:v>
                </c:pt>
                <c:pt idx="5">
                  <c:v>6156485.786974377</c:v>
                </c:pt>
                <c:pt idx="6">
                  <c:v>6314485.786974377</c:v>
                </c:pt>
                <c:pt idx="7">
                  <c:v>7522485.786974377</c:v>
                </c:pt>
                <c:pt idx="8">
                  <c:v>11880485.786974378</c:v>
                </c:pt>
                <c:pt idx="9">
                  <c:v>14985730.295976551</c:v>
                </c:pt>
                <c:pt idx="10">
                  <c:v>18111815.372345924</c:v>
                </c:pt>
                <c:pt idx="11">
                  <c:v>21258880.885660231</c:v>
                </c:pt>
                <c:pt idx="12">
                  <c:v>24427067.644219223</c:v>
                </c:pt>
                <c:pt idx="13">
                  <c:v>27616517.401344806</c:v>
                </c:pt>
                <c:pt idx="14">
                  <c:v>28924688.297965087</c:v>
                </c:pt>
                <c:pt idx="15">
                  <c:v>30241638.865215749</c:v>
                </c:pt>
                <c:pt idx="16">
                  <c:v>31567428.027058911</c:v>
                </c:pt>
                <c:pt idx="17">
                  <c:v>32902115.102919526</c:v>
                </c:pt>
                <c:pt idx="18">
                  <c:v>34245759.81033951</c:v>
                </c:pt>
                <c:pt idx="19">
                  <c:v>34365674.001946017</c:v>
                </c:pt>
                <c:pt idx="20">
                  <c:v>34469752.103805609</c:v>
                </c:pt>
                <c:pt idx="21">
                  <c:v>34557887.833434969</c:v>
                </c:pt>
                <c:pt idx="22">
                  <c:v>34629974.195045538</c:v>
                </c:pt>
                <c:pt idx="23">
                  <c:v>34685903.474756226</c:v>
                </c:pt>
                <c:pt idx="24">
                  <c:v>34725567.235774003</c:v>
                </c:pt>
                <c:pt idx="25">
                  <c:v>34745120.825806059</c:v>
                </c:pt>
                <c:pt idx="26">
                  <c:v>34747631.12389107</c:v>
                </c:pt>
                <c:pt idx="27">
                  <c:v>34747631.12389107</c:v>
                </c:pt>
                <c:pt idx="28">
                  <c:v>34747631.12389107</c:v>
                </c:pt>
                <c:pt idx="29">
                  <c:v>34747631.12389107</c:v>
                </c:pt>
                <c:pt idx="30">
                  <c:v>34747631.12389107</c:v>
                </c:pt>
                <c:pt idx="31">
                  <c:v>34747631.12389107</c:v>
                </c:pt>
                <c:pt idx="32">
                  <c:v>34747631.12389107</c:v>
                </c:pt>
                <c:pt idx="33">
                  <c:v>34747631.12389107</c:v>
                </c:pt>
                <c:pt idx="34">
                  <c:v>34747631.12389107</c:v>
                </c:pt>
                <c:pt idx="35">
                  <c:v>34747631.12389107</c:v>
                </c:pt>
                <c:pt idx="36">
                  <c:v>34747631.12389107</c:v>
                </c:pt>
                <c:pt idx="37">
                  <c:v>34747631.12389107</c:v>
                </c:pt>
                <c:pt idx="38">
                  <c:v>34747631.12389107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C-4AA4-A6AF-5A5E0A6547D1}"/>
            </c:ext>
          </c:extLst>
        </c:ser>
        <c:ser>
          <c:idx val="1"/>
          <c:order val="1"/>
          <c:tx>
            <c:strRef>
              <c:f>Graphics!$B$11</c:f>
              <c:strCache>
                <c:ptCount val="1"/>
                <c:pt idx="0">
                  <c:v>Traditional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Graphics!$C$11:$AO$11</c:f>
              <c:numCache>
                <c:formatCode>_("$"* #,##0_);_("$"* \(#,##0\);_("$"* "-"??_);_(@_)</c:formatCode>
                <c:ptCount val="39"/>
                <c:pt idx="0">
                  <c:v>5329076.0731086107</c:v>
                </c:pt>
                <c:pt idx="1">
                  <c:v>5449156.0731086107</c:v>
                </c:pt>
                <c:pt idx="2">
                  <c:v>5569236.0731086107</c:v>
                </c:pt>
                <c:pt idx="3">
                  <c:v>5689316.0731086107</c:v>
                </c:pt>
                <c:pt idx="4">
                  <c:v>5809396.0731086107</c:v>
                </c:pt>
                <c:pt idx="5">
                  <c:v>5929476.0731086107</c:v>
                </c:pt>
                <c:pt idx="6">
                  <c:v>6049556.0731086107</c:v>
                </c:pt>
                <c:pt idx="7">
                  <c:v>7569636.0731086107</c:v>
                </c:pt>
                <c:pt idx="8">
                  <c:v>9089716.0731086098</c:v>
                </c:pt>
                <c:pt idx="9">
                  <c:v>10609796.07310861</c:v>
                </c:pt>
                <c:pt idx="10">
                  <c:v>12129876.07310861</c:v>
                </c:pt>
                <c:pt idx="11">
                  <c:v>13649956.07310861</c:v>
                </c:pt>
                <c:pt idx="12">
                  <c:v>15178337.848983092</c:v>
                </c:pt>
                <c:pt idx="13">
                  <c:v>16716977.220582247</c:v>
                </c:pt>
                <c:pt idx="14">
                  <c:v>18265943.030831639</c:v>
                </c:pt>
                <c:pt idx="15">
                  <c:v>19825304.584689874</c:v>
                </c:pt>
                <c:pt idx="16">
                  <c:v>21395131.652249482</c:v>
                </c:pt>
                <c:pt idx="17">
                  <c:v>22975494.471858624</c:v>
                </c:pt>
                <c:pt idx="18">
                  <c:v>24566463.753263757</c:v>
                </c:pt>
                <c:pt idx="19">
                  <c:v>26168110.680773363</c:v>
                </c:pt>
                <c:pt idx="20">
                  <c:v>27780506.916442946</c:v>
                </c:pt>
                <c:pt idx="21">
                  <c:v>29403724.603281379</c:v>
                </c:pt>
                <c:pt idx="22">
                  <c:v>31037836.368478782</c:v>
                </c:pt>
                <c:pt idx="23">
                  <c:v>32682915.326656058</c:v>
                </c:pt>
                <c:pt idx="24">
                  <c:v>34339035.083136246</c:v>
                </c:pt>
                <c:pt idx="25">
                  <c:v>34458813.333784722</c:v>
                </c:pt>
                <c:pt idx="26">
                  <c:v>34562220.940979436</c:v>
                </c:pt>
                <c:pt idx="27">
                  <c:v>34649148.034631059</c:v>
                </c:pt>
                <c:pt idx="28">
                  <c:v>34719484.007267088</c:v>
                </c:pt>
                <c:pt idx="29">
                  <c:v>34773117.50908298</c:v>
                </c:pt>
                <c:pt idx="30">
                  <c:v>34809936.442960031</c:v>
                </c:pt>
                <c:pt idx="31">
                  <c:v>34829827.95944988</c:v>
                </c:pt>
                <c:pt idx="32">
                  <c:v>34832678.264306933</c:v>
                </c:pt>
                <c:pt idx="33">
                  <c:v>34832678.264306933</c:v>
                </c:pt>
                <c:pt idx="34">
                  <c:v>34832678.264306933</c:v>
                </c:pt>
                <c:pt idx="35">
                  <c:v>34832678.264306933</c:v>
                </c:pt>
                <c:pt idx="36">
                  <c:v>34832678.264306933</c:v>
                </c:pt>
                <c:pt idx="37">
                  <c:v>34832678.264306933</c:v>
                </c:pt>
                <c:pt idx="38">
                  <c:v>34832678.264306933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C-4AA4-A6AF-5A5E0A65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21247"/>
        <c:axId val="1705935167"/>
      </c:lineChart>
      <c:catAx>
        <c:axId val="170592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5167"/>
        <c:crosses val="autoZero"/>
        <c:auto val="1"/>
        <c:lblAlgn val="ctr"/>
        <c:lblOffset val="100"/>
        <c:tickMarkSkip val="1"/>
        <c:noMultiLvlLbl val="0"/>
      </c:catAx>
      <c:valAx>
        <c:axId val="170593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2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Graphics!$B$40</c:f>
              <c:strCache>
                <c:ptCount val="1"/>
                <c:pt idx="0">
                  <c:v>Modular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val>
            <c:numRef>
              <c:f>Graphics!$C$40:$BJ$40</c:f>
              <c:numCache>
                <c:formatCode>_("$"* #,##0_);_("$"* \(#,##0\);_("$"* "-"??_);_(@_)</c:formatCode>
                <c:ptCount val="60"/>
                <c:pt idx="0">
                  <c:v>-5158000</c:v>
                </c:pt>
                <c:pt idx="1">
                  <c:v>-5316000</c:v>
                </c:pt>
                <c:pt idx="2">
                  <c:v>-5474000</c:v>
                </c:pt>
                <c:pt idx="3">
                  <c:v>-5632000</c:v>
                </c:pt>
                <c:pt idx="4">
                  <c:v>-5790000</c:v>
                </c:pt>
                <c:pt idx="5">
                  <c:v>-5948000</c:v>
                </c:pt>
                <c:pt idx="6">
                  <c:v>-6106000</c:v>
                </c:pt>
                <c:pt idx="7">
                  <c:v>-7314000</c:v>
                </c:pt>
                <c:pt idx="8">
                  <c:v>-11672000</c:v>
                </c:pt>
                <c:pt idx="9">
                  <c:v>-14770000</c:v>
                </c:pt>
                <c:pt idx="10">
                  <c:v>-17868000</c:v>
                </c:pt>
                <c:pt idx="11">
                  <c:v>-20966000</c:v>
                </c:pt>
                <c:pt idx="12">
                  <c:v>-24064000</c:v>
                </c:pt>
                <c:pt idx="13">
                  <c:v>-27162000</c:v>
                </c:pt>
                <c:pt idx="14">
                  <c:v>-28370000</c:v>
                </c:pt>
                <c:pt idx="15">
                  <c:v>-29578000</c:v>
                </c:pt>
                <c:pt idx="16">
                  <c:v>-30786000</c:v>
                </c:pt>
                <c:pt idx="17">
                  <c:v>-31994000</c:v>
                </c:pt>
                <c:pt idx="18">
                  <c:v>-33202000</c:v>
                </c:pt>
                <c:pt idx="19">
                  <c:v>-33185470.056067709</c:v>
                </c:pt>
                <c:pt idx="20">
                  <c:v>-33152410.168203127</c:v>
                </c:pt>
                <c:pt idx="21">
                  <c:v>-33102820.336406253</c:v>
                </c:pt>
                <c:pt idx="22">
                  <c:v>-33036700.560677085</c:v>
                </c:pt>
                <c:pt idx="23">
                  <c:v>-32954050.841015626</c:v>
                </c:pt>
                <c:pt idx="24">
                  <c:v>-32854871.177421875</c:v>
                </c:pt>
                <c:pt idx="25">
                  <c:v>-32735450.985411327</c:v>
                </c:pt>
                <c:pt idx="26">
                  <c:v>-32598970.765970703</c:v>
                </c:pt>
                <c:pt idx="27">
                  <c:v>-32445430.519099999</c:v>
                </c:pt>
                <c:pt idx="28">
                  <c:v>-32274830.244799219</c:v>
                </c:pt>
                <c:pt idx="29">
                  <c:v>-32087169.943068359</c:v>
                </c:pt>
                <c:pt idx="30">
                  <c:v>9103619.318652194</c:v>
                </c:pt>
                <c:pt idx="31">
                  <c:v>9103619.318652194</c:v>
                </c:pt>
                <c:pt idx="32">
                  <c:v>9103619.318652194</c:v>
                </c:pt>
                <c:pt idx="33">
                  <c:v>9103619.318652194</c:v>
                </c:pt>
                <c:pt idx="34">
                  <c:v>9103619.318652194</c:v>
                </c:pt>
                <c:pt idx="35">
                  <c:v>9103619.318652194</c:v>
                </c:pt>
                <c:pt idx="36">
                  <c:v>9103619.318652194</c:v>
                </c:pt>
                <c:pt idx="37">
                  <c:v>9103619.318652194</c:v>
                </c:pt>
                <c:pt idx="38">
                  <c:v>9103619.318652194</c:v>
                </c:pt>
                <c:pt idx="39">
                  <c:v>9103619.318652194</c:v>
                </c:pt>
                <c:pt idx="40">
                  <c:v>9103619.318652194</c:v>
                </c:pt>
                <c:pt idx="41">
                  <c:v>9103619.318652194</c:v>
                </c:pt>
                <c:pt idx="42">
                  <c:v>9103619.318652194</c:v>
                </c:pt>
                <c:pt idx="43">
                  <c:v>9103619.318652194</c:v>
                </c:pt>
                <c:pt idx="44">
                  <c:v>9103619.318652194</c:v>
                </c:pt>
                <c:pt idx="45">
                  <c:v>9103619.318652194</c:v>
                </c:pt>
                <c:pt idx="46">
                  <c:v>9103619.318652194</c:v>
                </c:pt>
                <c:pt idx="47">
                  <c:v>9103619.318652194</c:v>
                </c:pt>
                <c:pt idx="48">
                  <c:v>9103619.318652194</c:v>
                </c:pt>
                <c:pt idx="49">
                  <c:v>9103619.318652194</c:v>
                </c:pt>
                <c:pt idx="50">
                  <c:v>9103619.318652194</c:v>
                </c:pt>
                <c:pt idx="51">
                  <c:v>9103619.318652194</c:v>
                </c:pt>
                <c:pt idx="52">
                  <c:v>9103619.318652194</c:v>
                </c:pt>
                <c:pt idx="53">
                  <c:v>9103619.318652194</c:v>
                </c:pt>
                <c:pt idx="54">
                  <c:v>9103619.318652194</c:v>
                </c:pt>
                <c:pt idx="55">
                  <c:v>9103619.318652194</c:v>
                </c:pt>
                <c:pt idx="56">
                  <c:v>9103619.318652194</c:v>
                </c:pt>
                <c:pt idx="57">
                  <c:v>9103619.318652194</c:v>
                </c:pt>
                <c:pt idx="58">
                  <c:v>9103619.318652194</c:v>
                </c:pt>
                <c:pt idx="59">
                  <c:v>9103619.318652194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7-4276-986B-05CAD921606A}"/>
            </c:ext>
          </c:extLst>
        </c:ser>
        <c:ser>
          <c:idx val="1"/>
          <c:order val="1"/>
          <c:tx>
            <c:strRef>
              <c:f>Graphics!$B$41</c:f>
              <c:strCache>
                <c:ptCount val="1"/>
                <c:pt idx="0">
                  <c:v>Traditional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val>
            <c:numRef>
              <c:f>Graphics!$C$41:$BJ$41</c:f>
              <c:numCache>
                <c:formatCode>_("$"* #,##0_);_("$"* \(#,##0\);_("$"* "-"??_);_(@_)</c:formatCode>
                <c:ptCount val="60"/>
                <c:pt idx="0">
                  <c:v>-5120080</c:v>
                </c:pt>
                <c:pt idx="1">
                  <c:v>-5240160</c:v>
                </c:pt>
                <c:pt idx="2">
                  <c:v>-5360240</c:v>
                </c:pt>
                <c:pt idx="3">
                  <c:v>-5480320</c:v>
                </c:pt>
                <c:pt idx="4">
                  <c:v>-5600400</c:v>
                </c:pt>
                <c:pt idx="5">
                  <c:v>-5720480</c:v>
                </c:pt>
                <c:pt idx="6">
                  <c:v>-5840560</c:v>
                </c:pt>
                <c:pt idx="7">
                  <c:v>-7360640</c:v>
                </c:pt>
                <c:pt idx="8">
                  <c:v>-8880720</c:v>
                </c:pt>
                <c:pt idx="9">
                  <c:v>-10400800</c:v>
                </c:pt>
                <c:pt idx="10">
                  <c:v>-11920880</c:v>
                </c:pt>
                <c:pt idx="11">
                  <c:v>-13440960</c:v>
                </c:pt>
                <c:pt idx="12">
                  <c:v>-14961040</c:v>
                </c:pt>
                <c:pt idx="13">
                  <c:v>-16481120</c:v>
                </c:pt>
                <c:pt idx="14">
                  <c:v>-18001200</c:v>
                </c:pt>
                <c:pt idx="15">
                  <c:v>-19521280</c:v>
                </c:pt>
                <c:pt idx="16">
                  <c:v>-21041360</c:v>
                </c:pt>
                <c:pt idx="17">
                  <c:v>-22561440</c:v>
                </c:pt>
                <c:pt idx="18">
                  <c:v>-24081520</c:v>
                </c:pt>
                <c:pt idx="19">
                  <c:v>-25601600</c:v>
                </c:pt>
                <c:pt idx="20">
                  <c:v>-27121680</c:v>
                </c:pt>
                <c:pt idx="21">
                  <c:v>-28641760</c:v>
                </c:pt>
                <c:pt idx="22">
                  <c:v>-30161840</c:v>
                </c:pt>
                <c:pt idx="23">
                  <c:v>-31681920</c:v>
                </c:pt>
                <c:pt idx="24">
                  <c:v>-33202000</c:v>
                </c:pt>
                <c:pt idx="25">
                  <c:v>-33184939.97256992</c:v>
                </c:pt>
                <c:pt idx="26">
                  <c:v>-33150819.917709764</c:v>
                </c:pt>
                <c:pt idx="27">
                  <c:v>-33099639.835419528</c:v>
                </c:pt>
                <c:pt idx="28">
                  <c:v>-33031399.725699216</c:v>
                </c:pt>
                <c:pt idx="29">
                  <c:v>-32946099.588548824</c:v>
                </c:pt>
                <c:pt idx="30">
                  <c:v>-32843739.423968356</c:v>
                </c:pt>
                <c:pt idx="31">
                  <c:v>-32724319.231957808</c:v>
                </c:pt>
                <c:pt idx="32">
                  <c:v>-32587839.012517184</c:v>
                </c:pt>
                <c:pt idx="33">
                  <c:v>-32434298.76564648</c:v>
                </c:pt>
                <c:pt idx="34">
                  <c:v>-32263698.4913457</c:v>
                </c:pt>
                <c:pt idx="35">
                  <c:v>-32076038.18961484</c:v>
                </c:pt>
                <c:pt idx="36">
                  <c:v>9114751.0721057132</c:v>
                </c:pt>
                <c:pt idx="37">
                  <c:v>9114751.0721057132</c:v>
                </c:pt>
                <c:pt idx="38">
                  <c:v>9114751.0721057132</c:v>
                </c:pt>
                <c:pt idx="39">
                  <c:v>9114751.0721057132</c:v>
                </c:pt>
                <c:pt idx="40">
                  <c:v>9114751.0721057132</c:v>
                </c:pt>
                <c:pt idx="41">
                  <c:v>9114751.0721057132</c:v>
                </c:pt>
                <c:pt idx="42">
                  <c:v>9114751.0721057132</c:v>
                </c:pt>
                <c:pt idx="43">
                  <c:v>9114751.0721057132</c:v>
                </c:pt>
                <c:pt idx="44">
                  <c:v>9114751.0721057132</c:v>
                </c:pt>
                <c:pt idx="45">
                  <c:v>9114751.0721057132</c:v>
                </c:pt>
                <c:pt idx="46">
                  <c:v>9114751.0721057132</c:v>
                </c:pt>
                <c:pt idx="47">
                  <c:v>9114751.0721057132</c:v>
                </c:pt>
                <c:pt idx="48">
                  <c:v>9114751.0721057132</c:v>
                </c:pt>
                <c:pt idx="49">
                  <c:v>9114751.0721057132</c:v>
                </c:pt>
                <c:pt idx="50">
                  <c:v>9114751.0721057132</c:v>
                </c:pt>
                <c:pt idx="51">
                  <c:v>9114751.0721057132</c:v>
                </c:pt>
                <c:pt idx="52">
                  <c:v>9114751.0721057132</c:v>
                </c:pt>
                <c:pt idx="53">
                  <c:v>9114751.0721057132</c:v>
                </c:pt>
                <c:pt idx="54">
                  <c:v>9114751.0721057132</c:v>
                </c:pt>
                <c:pt idx="55">
                  <c:v>9114751.0721057132</c:v>
                </c:pt>
                <c:pt idx="56">
                  <c:v>9114751.0721057132</c:v>
                </c:pt>
                <c:pt idx="57">
                  <c:v>9114751.0721057132</c:v>
                </c:pt>
                <c:pt idx="58">
                  <c:v>9114751.0721057132</c:v>
                </c:pt>
                <c:pt idx="59">
                  <c:v>9114751.0721057132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7-4276-986B-05CAD921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000527"/>
        <c:axId val="1952013007"/>
      </c:lineChart>
      <c:catAx>
        <c:axId val="1952000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013007"/>
        <c:crosses val="autoZero"/>
        <c:auto val="1"/>
        <c:lblAlgn val="ctr"/>
        <c:lblOffset val="100"/>
        <c:noMultiLvlLbl val="0"/>
      </c:catAx>
      <c:valAx>
        <c:axId val="195201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000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53916</xdr:colOff>
      <xdr:row>8</xdr:row>
      <xdr:rowOff>38100</xdr:rowOff>
    </xdr:from>
    <xdr:to>
      <xdr:col>20</xdr:col>
      <xdr:colOff>361950</xdr:colOff>
      <xdr:row>21</xdr:row>
      <xdr:rowOff>86683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5469E-4EEB-4449-8F1A-11022BF9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147310</xdr:colOff>
      <xdr:row>13</xdr:row>
      <xdr:rowOff>116416</xdr:rowOff>
    </xdr:from>
    <xdr:to>
      <xdr:col>17</xdr:col>
      <xdr:colOff>375910</xdr:colOff>
      <xdr:row>15</xdr:row>
      <xdr:rowOff>27516</xdr:rowOff>
    </xdr:to>
    <xdr:sp macro="" textlink="">
      <xdr:nvSpPr>
        <xdr:cNvPr id="4" name="Star: 5 Points 3">
          <a:extLst>
            <a:ext uri="{FF2B5EF4-FFF2-40B4-BE49-F238E27FC236}">
              <a16:creationId xmlns:a16="http://schemas.microsoft.com/office/drawing/2014/main" id="{0B17D09D-16AC-4662-9A13-3FBD81442967}"/>
            </a:ext>
          </a:extLst>
        </xdr:cNvPr>
        <xdr:cNvSpPr/>
      </xdr:nvSpPr>
      <xdr:spPr>
        <a:xfrm flipH="1">
          <a:off x="14000893" y="1693333"/>
          <a:ext cx="228600" cy="228600"/>
        </a:xfrm>
        <a:prstGeom prst="star5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366722</xdr:colOff>
      <xdr:row>19</xdr:row>
      <xdr:rowOff>17493</xdr:rowOff>
    </xdr:from>
    <xdr:to>
      <xdr:col>19</xdr:col>
      <xdr:colOff>2655</xdr:colOff>
      <xdr:row>20</xdr:row>
      <xdr:rowOff>87343</xdr:rowOff>
    </xdr:to>
    <xdr:sp macro="" textlink="">
      <xdr:nvSpPr>
        <xdr:cNvPr id="5" name="Star: 5 Points 4">
          <a:extLst>
            <a:ext uri="{FF2B5EF4-FFF2-40B4-BE49-F238E27FC236}">
              <a16:creationId xmlns:a16="http://schemas.microsoft.com/office/drawing/2014/main" id="{D714B37F-DFCF-461C-A904-3C55BE6B96F2}"/>
            </a:ext>
          </a:extLst>
        </xdr:cNvPr>
        <xdr:cNvSpPr/>
      </xdr:nvSpPr>
      <xdr:spPr>
        <a:xfrm>
          <a:off x="14812972" y="2546910"/>
          <a:ext cx="228600" cy="228600"/>
        </a:xfrm>
        <a:prstGeom prst="star5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49742</xdr:colOff>
      <xdr:row>25</xdr:row>
      <xdr:rowOff>63500</xdr:rowOff>
    </xdr:from>
    <xdr:to>
      <xdr:col>20</xdr:col>
      <xdr:colOff>564089</xdr:colOff>
      <xdr:row>43</xdr:row>
      <xdr:rowOff>144524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02598-A99F-4974-A43E-76FD6D7B342D}"/>
            </a:ext>
            <a:ext uri="{147F2762-F138-4A5C-976F-8EAC2B608ADB}">
              <a16:predDERef xmlns:a16="http://schemas.microsoft.com/office/drawing/2014/main" pred="{D714B37F-DFCF-461C-A904-3C55BE6B9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508000</xdr:colOff>
      <xdr:row>28</xdr:row>
      <xdr:rowOff>21167</xdr:rowOff>
    </xdr:from>
    <xdr:to>
      <xdr:col>9</xdr:col>
      <xdr:colOff>508000</xdr:colOff>
      <xdr:row>42</xdr:row>
      <xdr:rowOff>10583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DE0C436-7107-86EA-F366-90DF0D139438}"/>
            </a:ext>
          </a:extLst>
        </xdr:cNvPr>
        <xdr:cNvCxnSpPr/>
      </xdr:nvCxnSpPr>
      <xdr:spPr>
        <a:xfrm flipV="1">
          <a:off x="9937750" y="4095750"/>
          <a:ext cx="0" cy="221191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438154</xdr:colOff>
      <xdr:row>28</xdr:row>
      <xdr:rowOff>14819</xdr:rowOff>
    </xdr:from>
    <xdr:to>
      <xdr:col>13</xdr:col>
      <xdr:colOff>438154</xdr:colOff>
      <xdr:row>42</xdr:row>
      <xdr:rowOff>5167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83535E2-8D4A-46F5-ADCB-6C0533216767}"/>
            </a:ext>
          </a:extLst>
        </xdr:cNvPr>
        <xdr:cNvCxnSpPr/>
      </xdr:nvCxnSpPr>
      <xdr:spPr>
        <a:xfrm flipV="1">
          <a:off x="12196237" y="4089402"/>
          <a:ext cx="0" cy="22128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135470</xdr:colOff>
      <xdr:row>28</xdr:row>
      <xdr:rowOff>19047</xdr:rowOff>
    </xdr:from>
    <xdr:to>
      <xdr:col>16</xdr:col>
      <xdr:colOff>135470</xdr:colOff>
      <xdr:row>42</xdr:row>
      <xdr:rowOff>9395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F06B3D8-FC77-49F0-B0F5-40C868E7BC8C}"/>
            </a:ext>
          </a:extLst>
        </xdr:cNvPr>
        <xdr:cNvCxnSpPr/>
      </xdr:nvCxnSpPr>
      <xdr:spPr>
        <a:xfrm flipV="1">
          <a:off x="13396387" y="4093630"/>
          <a:ext cx="0" cy="22128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476251</xdr:colOff>
      <xdr:row>28</xdr:row>
      <xdr:rowOff>10583</xdr:rowOff>
    </xdr:from>
    <xdr:ext cx="1030026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286EA2-3AF0-FF46-968D-6B1D84E6FFA1}"/>
            </a:ext>
          </a:extLst>
        </xdr:cNvPr>
        <xdr:cNvSpPr txBox="1"/>
      </xdr:nvSpPr>
      <xdr:spPr>
        <a:xfrm>
          <a:off x="9906001" y="4085166"/>
          <a:ext cx="103002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+mj-lt"/>
            </a:rPr>
            <a:t>Construction</a:t>
          </a:r>
          <a:r>
            <a:rPr lang="en-US" sz="900" baseline="0">
              <a:latin typeface="+mj-lt"/>
            </a:rPr>
            <a:t> Start</a:t>
          </a:r>
          <a:endParaRPr lang="en-US" sz="900">
            <a:latin typeface="+mj-lt"/>
          </a:endParaRPr>
        </a:p>
      </xdr:txBody>
    </xdr:sp>
    <xdr:clientData/>
  </xdr:oneCellAnchor>
  <xdr:oneCellAnchor>
    <xdr:from>
      <xdr:col>13</xdr:col>
      <xdr:colOff>469905</xdr:colOff>
      <xdr:row>27</xdr:row>
      <xdr:rowOff>120650</xdr:rowOff>
    </xdr:from>
    <xdr:ext cx="1231043" cy="37407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9F1861D-AE7F-4B80-B09E-A004026CA5AF}"/>
            </a:ext>
          </a:extLst>
        </xdr:cNvPr>
        <xdr:cNvSpPr txBox="1"/>
      </xdr:nvSpPr>
      <xdr:spPr>
        <a:xfrm>
          <a:off x="12227988" y="4036483"/>
          <a:ext cx="1231043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+mj-lt"/>
            </a:rPr>
            <a:t>Modular Construction </a:t>
          </a:r>
          <a:br>
            <a:rPr lang="en-US" sz="900">
              <a:latin typeface="+mj-lt"/>
            </a:rPr>
          </a:br>
          <a:r>
            <a:rPr lang="en-US" sz="900">
              <a:latin typeface="+mj-lt"/>
            </a:rPr>
            <a:t>Complete</a:t>
          </a:r>
        </a:p>
      </xdr:txBody>
    </xdr:sp>
    <xdr:clientData/>
  </xdr:oneCellAnchor>
  <xdr:oneCellAnchor>
    <xdr:from>
      <xdr:col>16</xdr:col>
      <xdr:colOff>93137</xdr:colOff>
      <xdr:row>27</xdr:row>
      <xdr:rowOff>124883</xdr:rowOff>
    </xdr:from>
    <xdr:ext cx="1332481" cy="37407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873351B-9984-4EED-9647-C9C3DF81BDA1}"/>
            </a:ext>
          </a:extLst>
        </xdr:cNvPr>
        <xdr:cNvSpPr txBox="1"/>
      </xdr:nvSpPr>
      <xdr:spPr>
        <a:xfrm>
          <a:off x="13354054" y="4040716"/>
          <a:ext cx="133248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+mj-lt"/>
            </a:rPr>
            <a:t>Traditional Construction </a:t>
          </a:r>
          <a:br>
            <a:rPr lang="en-US" sz="900">
              <a:latin typeface="+mj-lt"/>
            </a:rPr>
          </a:br>
          <a:r>
            <a:rPr lang="en-US" sz="900">
              <a:latin typeface="+mj-lt"/>
            </a:rPr>
            <a:t>Complete</a:t>
          </a:r>
        </a:p>
      </xdr:txBody>
    </xdr:sp>
    <xdr:clientData/>
  </xdr:oneCellAnchor>
  <xdr:twoCellAnchor>
    <xdr:from>
      <xdr:col>13</xdr:col>
      <xdr:colOff>423337</xdr:colOff>
      <xdr:row>39</xdr:row>
      <xdr:rowOff>95250</xdr:rowOff>
    </xdr:from>
    <xdr:to>
      <xdr:col>16</xdr:col>
      <xdr:colOff>84666</xdr:colOff>
      <xdr:row>39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39A5332-726E-401B-3ED0-C4E1E199FDC1}"/>
            </a:ext>
          </a:extLst>
        </xdr:cNvPr>
        <xdr:cNvCxnSpPr/>
      </xdr:nvCxnSpPr>
      <xdr:spPr>
        <a:xfrm>
          <a:off x="12181420" y="5916083"/>
          <a:ext cx="1164163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400056</xdr:colOff>
      <xdr:row>36</xdr:row>
      <xdr:rowOff>124883</xdr:rowOff>
    </xdr:from>
    <xdr:ext cx="1293282" cy="37407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43E1B67-0542-4EEC-A414-C4593CC0150A}"/>
            </a:ext>
          </a:extLst>
        </xdr:cNvPr>
        <xdr:cNvSpPr txBox="1"/>
      </xdr:nvSpPr>
      <xdr:spPr>
        <a:xfrm>
          <a:off x="12158139" y="5469466"/>
          <a:ext cx="1293282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latin typeface="+mj-lt"/>
            </a:rPr>
            <a:t>Modular construction is 40%</a:t>
          </a:r>
          <a:r>
            <a:rPr lang="en-US" sz="900" baseline="0">
              <a:latin typeface="+mj-lt"/>
            </a:rPr>
            <a:t> faster on average</a:t>
          </a:r>
          <a:endParaRPr lang="en-US" sz="900">
            <a:latin typeface="+mj-lt"/>
          </a:endParaRPr>
        </a:p>
      </xdr:txBody>
    </xdr:sp>
    <xdr:clientData/>
  </xdr:oneCellAnchor>
  <xdr:twoCellAnchor editAs="oneCell">
    <xdr:from>
      <xdr:col>0</xdr:col>
      <xdr:colOff>39688</xdr:colOff>
      <xdr:row>0</xdr:row>
      <xdr:rowOff>0</xdr:rowOff>
    </xdr:from>
    <xdr:to>
      <xdr:col>1</xdr:col>
      <xdr:colOff>2174643</xdr:colOff>
      <xdr:row>3</xdr:row>
      <xdr:rowOff>39687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C44BF8-85E4-8B57-E75A-DAFF25FB1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" t="41257" r="4187" b="41095"/>
        <a:stretch/>
      </xdr:blipFill>
      <xdr:spPr bwMode="auto">
        <a:xfrm>
          <a:off x="39688" y="0"/>
          <a:ext cx="2754080" cy="5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2754080</xdr:colOff>
      <xdr:row>3</xdr:row>
      <xdr:rowOff>55562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245169-2108-479B-92C7-2C8ACC2B4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" t="41257" r="4187" b="41095"/>
        <a:stretch/>
      </xdr:blipFill>
      <xdr:spPr bwMode="auto">
        <a:xfrm>
          <a:off x="0" y="0"/>
          <a:ext cx="2754080" cy="5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57</xdr:row>
      <xdr:rowOff>59532</xdr:rowOff>
    </xdr:from>
    <xdr:to>
      <xdr:col>7</xdr:col>
      <xdr:colOff>849112</xdr:colOff>
      <xdr:row>93</xdr:row>
      <xdr:rowOff>108121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46F07B7-4896-5FBA-D859-810902F0A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10918032"/>
          <a:ext cx="9945488" cy="6906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2754080</xdr:colOff>
      <xdr:row>3</xdr:row>
      <xdr:rowOff>7937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01D892-303C-4043-9B54-91EC1C9B40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" t="41257" r="4187" b="41095"/>
        <a:stretch/>
      </xdr:blipFill>
      <xdr:spPr bwMode="auto">
        <a:xfrm>
          <a:off x="0" y="0"/>
          <a:ext cx="2754080" cy="5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2754080</xdr:colOff>
      <xdr:row>3</xdr:row>
      <xdr:rowOff>7937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7591C-1C6B-403C-B357-EA1C765ECC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0" t="41257" r="4187" b="41095"/>
        <a:stretch/>
      </xdr:blipFill>
      <xdr:spPr bwMode="auto">
        <a:xfrm>
          <a:off x="0" y="0"/>
          <a:ext cx="2754080" cy="55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13</xdr:row>
      <xdr:rowOff>30161</xdr:rowOff>
    </xdr:from>
    <xdr:to>
      <xdr:col>8</xdr:col>
      <xdr:colOff>180975</xdr:colOff>
      <xdr:row>29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0DC78-F91E-8C36-C754-53524E222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571499</xdr:colOff>
      <xdr:row>42</xdr:row>
      <xdr:rowOff>100012</xdr:rowOff>
    </xdr:from>
    <xdr:to>
      <xdr:col>12</xdr:col>
      <xdr:colOff>19050</xdr:colOff>
      <xdr:row>56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A87E24-FC40-D94E-6D84-A83BBF8A7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52BE-2B82-4BEA-8F15-E300B55F3E64}">
  <sheetPr>
    <tabColor theme="1"/>
  </sheetPr>
  <dimension ref="A1:U80"/>
  <sheetViews>
    <sheetView showGridLines="0" tabSelected="1" topLeftCell="A44" zoomScale="80" zoomScaleNormal="80" zoomScaleSheetLayoutView="80" workbookViewId="0">
      <selection activeCell="B3" sqref="B3"/>
    </sheetView>
  </sheetViews>
  <sheetFormatPr baseColWidth="10" defaultColWidth="8.83203125" defaultRowHeight="14" outlineLevelRow="1"/>
  <cols>
    <col min="1" max="1" width="8.83203125" style="119"/>
    <col min="2" max="2" width="42.5" style="119" bestFit="1" customWidth="1"/>
    <col min="3" max="3" width="17.5" style="119" customWidth="1"/>
    <col min="4" max="4" width="31.5" style="119" customWidth="1"/>
    <col min="5" max="5" width="8.83203125" style="119"/>
    <col min="6" max="6" width="8.33203125" style="119" customWidth="1"/>
    <col min="7" max="7" width="5.5" style="119" customWidth="1"/>
    <col min="8" max="8" width="9.5" style="119" customWidth="1"/>
    <col min="9" max="9" width="9" style="119" customWidth="1"/>
    <col min="10" max="10" width="8.33203125" style="119" bestFit="1" customWidth="1"/>
    <col min="11" max="11" width="8.83203125" style="119" customWidth="1"/>
    <col min="12" max="15" width="8.83203125" style="119"/>
    <col min="16" max="16" width="4.6640625" style="119" customWidth="1"/>
    <col min="17" max="20" width="8.83203125" style="119"/>
    <col min="21" max="21" width="11.33203125" style="119" customWidth="1"/>
    <col min="22" max="16384" width="8.83203125" style="119"/>
  </cols>
  <sheetData>
    <row r="1" spans="1:21" ht="15">
      <c r="A1"/>
    </row>
    <row r="5" spans="1:21" ht="15" thickBot="1"/>
    <row r="6" spans="1:21" ht="20" thickBot="1">
      <c r="B6" s="319" t="s">
        <v>0</v>
      </c>
      <c r="C6" s="292"/>
      <c r="D6" s="293"/>
      <c r="G6" s="319" t="s">
        <v>1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3"/>
    </row>
    <row r="7" spans="1:21" ht="15" thickTop="1">
      <c r="B7" s="294"/>
      <c r="D7" s="295"/>
      <c r="G7" s="294"/>
      <c r="U7" s="295"/>
    </row>
    <row r="8" spans="1:21" ht="15" thickBot="1">
      <c r="B8" s="439" t="str">
        <f>D11</f>
        <v>Berlin - Sample Project</v>
      </c>
      <c r="C8" s="440"/>
      <c r="D8" s="441"/>
      <c r="G8" s="442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1"/>
    </row>
    <row r="9" spans="1:21">
      <c r="B9" s="296"/>
      <c r="C9" s="297"/>
      <c r="D9" s="298"/>
      <c r="G9" s="294"/>
      <c r="U9" s="295"/>
    </row>
    <row r="10" spans="1:21" ht="15" customHeight="1">
      <c r="B10" s="299" t="s">
        <v>2</v>
      </c>
      <c r="C10" s="401"/>
      <c r="D10" s="300"/>
      <c r="G10" s="294"/>
      <c r="U10" s="295"/>
    </row>
    <row r="11" spans="1:21">
      <c r="B11" s="294" t="s">
        <v>3</v>
      </c>
      <c r="D11" s="300" t="s">
        <v>4</v>
      </c>
      <c r="G11" s="294"/>
      <c r="U11" s="295"/>
    </row>
    <row r="12" spans="1:21">
      <c r="B12" s="294" t="s">
        <v>5</v>
      </c>
      <c r="D12" s="300" t="s">
        <v>6</v>
      </c>
      <c r="G12" s="294"/>
      <c r="U12" s="295"/>
    </row>
    <row r="13" spans="1:21">
      <c r="B13" s="294" t="s">
        <v>7</v>
      </c>
      <c r="D13" s="301" t="s">
        <v>8</v>
      </c>
      <c r="G13" s="294"/>
      <c r="U13" s="295"/>
    </row>
    <row r="14" spans="1:21">
      <c r="B14" s="294" t="s">
        <v>9</v>
      </c>
      <c r="D14" s="301">
        <f>Inputs!J14</f>
        <v>90000</v>
      </c>
      <c r="G14" s="294"/>
      <c r="U14" s="295"/>
    </row>
    <row r="15" spans="1:21">
      <c r="B15" s="294" t="s">
        <v>10</v>
      </c>
      <c r="D15" s="301">
        <f>Inputs!J16</f>
        <v>75000</v>
      </c>
      <c r="G15" s="294"/>
      <c r="U15" s="295"/>
    </row>
    <row r="16" spans="1:21">
      <c r="B16" s="294" t="s">
        <v>11</v>
      </c>
      <c r="D16" s="301">
        <f>Inputs!J15</f>
        <v>15000</v>
      </c>
      <c r="G16" s="294"/>
      <c r="U16" s="295"/>
    </row>
    <row r="17" spans="2:21">
      <c r="B17" s="294" t="s">
        <v>12</v>
      </c>
      <c r="D17" s="302">
        <f>Inputs!E29</f>
        <v>150</v>
      </c>
      <c r="G17" s="294"/>
      <c r="U17" s="295"/>
    </row>
    <row r="18" spans="2:21">
      <c r="B18" s="294"/>
      <c r="D18" s="303"/>
      <c r="G18" s="294"/>
      <c r="U18" s="295"/>
    </row>
    <row r="19" spans="2:21">
      <c r="B19" s="299" t="s">
        <v>13</v>
      </c>
      <c r="C19" s="401"/>
      <c r="D19" s="303"/>
      <c r="G19" s="294"/>
      <c r="U19" s="295"/>
    </row>
    <row r="20" spans="2:21">
      <c r="B20" s="304" t="s">
        <v>14</v>
      </c>
      <c r="C20" s="305" t="s">
        <v>15</v>
      </c>
      <c r="D20" s="306" t="s">
        <v>16</v>
      </c>
      <c r="E20" s="307" t="s">
        <v>17</v>
      </c>
      <c r="G20" s="294"/>
      <c r="U20" s="295"/>
    </row>
    <row r="21" spans="2:21">
      <c r="B21" s="308" t="s">
        <v>18</v>
      </c>
      <c r="C21" s="402">
        <f>Inputs!J87</f>
        <v>45292</v>
      </c>
      <c r="D21" s="309">
        <f>Inputs!K89-Inputs!K87-1</f>
        <v>6</v>
      </c>
      <c r="E21" s="307">
        <f t="shared" ref="E21:E28" si="0">D21*30.437</f>
        <v>182.62200000000001</v>
      </c>
      <c r="G21" s="294"/>
      <c r="U21" s="295"/>
    </row>
    <row r="22" spans="2:21" ht="15" thickBot="1">
      <c r="B22" s="310" t="s">
        <v>19</v>
      </c>
      <c r="C22" s="402">
        <f>Inputs!J89</f>
        <v>45474</v>
      </c>
      <c r="D22" s="309">
        <f>Inputs!K93-Inputs!K89+1</f>
        <v>12</v>
      </c>
      <c r="E22" s="307">
        <f t="shared" si="0"/>
        <v>365.24400000000003</v>
      </c>
      <c r="G22" s="311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3"/>
    </row>
    <row r="23" spans="2:21">
      <c r="B23" s="310" t="s">
        <v>20</v>
      </c>
      <c r="C23" s="402">
        <f>Inputs!J91</f>
        <v>45505</v>
      </c>
      <c r="D23" s="309">
        <f>Inputs!K92-Inputs!K91</f>
        <v>5</v>
      </c>
      <c r="E23" s="307">
        <f t="shared" si="0"/>
        <v>152.185</v>
      </c>
    </row>
    <row r="24" spans="2:21" ht="15" thickBot="1">
      <c r="B24" s="310" t="s">
        <v>21</v>
      </c>
      <c r="C24" s="402">
        <f>Inputs!J94</f>
        <v>45839</v>
      </c>
      <c r="D24" s="309">
        <f>Inputs!K95-Inputs!K94+1</f>
        <v>12</v>
      </c>
      <c r="E24" s="307">
        <f t="shared" si="0"/>
        <v>365.24400000000003</v>
      </c>
      <c r="K24" s="314"/>
      <c r="L24" s="314"/>
      <c r="M24" s="314"/>
      <c r="N24" s="314"/>
      <c r="O24" s="314"/>
    </row>
    <row r="25" spans="2:21" ht="20" thickBot="1">
      <c r="B25" s="310"/>
      <c r="C25" s="402"/>
      <c r="D25" s="309"/>
      <c r="E25" s="307"/>
      <c r="G25" s="319" t="s">
        <v>22</v>
      </c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3"/>
    </row>
    <row r="26" spans="2:21" ht="15" thickTop="1">
      <c r="B26" s="308" t="s">
        <v>23</v>
      </c>
      <c r="C26" s="402">
        <f>Inputs!Q87</f>
        <v>45292</v>
      </c>
      <c r="D26" s="309">
        <f>Inputs!R89-Inputs!R87-1</f>
        <v>6</v>
      </c>
      <c r="E26" s="307">
        <f t="shared" si="0"/>
        <v>182.62200000000001</v>
      </c>
      <c r="G26" s="294"/>
      <c r="K26" s="314"/>
      <c r="L26" s="314"/>
      <c r="M26" s="314"/>
      <c r="N26" s="314"/>
      <c r="O26" s="314"/>
      <c r="U26" s="295"/>
    </row>
    <row r="27" spans="2:21">
      <c r="B27" s="310" t="s">
        <v>24</v>
      </c>
      <c r="C27" s="402">
        <f>Inputs!Q89</f>
        <v>45474</v>
      </c>
      <c r="D27" s="309">
        <f>Inputs!R93-Inputs!R89+1</f>
        <v>18</v>
      </c>
      <c r="E27" s="307">
        <f t="shared" si="0"/>
        <v>547.86599999999999</v>
      </c>
      <c r="G27" s="294"/>
      <c r="K27" s="314"/>
      <c r="L27" s="314"/>
      <c r="M27" s="314"/>
      <c r="N27" s="314"/>
      <c r="O27" s="314"/>
      <c r="U27" s="295"/>
    </row>
    <row r="28" spans="2:21">
      <c r="B28" s="310" t="s">
        <v>25</v>
      </c>
      <c r="C28" s="402">
        <f>Inputs!Q94</f>
        <v>46023</v>
      </c>
      <c r="D28" s="309">
        <f>Inputs!R95-Inputs!R94+1</f>
        <v>12</v>
      </c>
      <c r="E28" s="307">
        <f t="shared" si="0"/>
        <v>365.24400000000003</v>
      </c>
      <c r="G28" s="294"/>
      <c r="K28" s="314"/>
      <c r="L28" s="314"/>
      <c r="M28" s="314"/>
      <c r="N28" s="314"/>
      <c r="O28" s="314"/>
      <c r="U28" s="295"/>
    </row>
    <row r="29" spans="2:21">
      <c r="B29" s="294"/>
      <c r="D29" s="303"/>
      <c r="G29" s="294"/>
      <c r="K29" s="314"/>
      <c r="L29" s="314"/>
      <c r="M29" s="314"/>
      <c r="N29" s="314"/>
      <c r="O29" s="314"/>
      <c r="U29" s="295"/>
    </row>
    <row r="30" spans="2:21">
      <c r="B30" s="299" t="s">
        <v>26</v>
      </c>
      <c r="C30" s="401"/>
      <c r="D30" s="303"/>
      <c r="G30" s="294"/>
      <c r="K30" s="314"/>
      <c r="L30" s="314"/>
      <c r="M30" s="314"/>
      <c r="N30" s="314"/>
      <c r="O30" s="314"/>
      <c r="U30" s="295"/>
    </row>
    <row r="31" spans="2:21">
      <c r="B31" s="294" t="s">
        <v>27</v>
      </c>
      <c r="D31" s="315">
        <f>Inputs!J13</f>
        <v>12</v>
      </c>
      <c r="G31" s="294"/>
      <c r="K31" s="314"/>
      <c r="L31" s="314"/>
      <c r="M31" s="314"/>
      <c r="N31" s="314"/>
      <c r="O31" s="314"/>
      <c r="U31" s="295"/>
    </row>
    <row r="32" spans="2:21">
      <c r="B32" s="304" t="s">
        <v>28</v>
      </c>
      <c r="C32" s="403"/>
      <c r="D32" s="316">
        <f ca="1">Inputs!K78</f>
        <v>34747631.605817802</v>
      </c>
      <c r="G32" s="294"/>
      <c r="K32" s="314"/>
      <c r="L32" s="314"/>
      <c r="M32" s="314"/>
      <c r="N32" s="314"/>
      <c r="O32" s="314"/>
      <c r="U32" s="295"/>
    </row>
    <row r="33" spans="2:21">
      <c r="B33" s="308" t="s">
        <v>29</v>
      </c>
      <c r="C33" s="404"/>
      <c r="D33" s="317">
        <f>Inputs!K74</f>
        <v>5000000</v>
      </c>
      <c r="G33" s="368"/>
      <c r="H33" s="314"/>
      <c r="I33" s="314"/>
      <c r="J33" s="314"/>
      <c r="K33" s="314"/>
      <c r="L33" s="314"/>
      <c r="M33" s="314"/>
      <c r="N33" s="314"/>
      <c r="O33" s="314"/>
      <c r="U33" s="295"/>
    </row>
    <row r="34" spans="2:21">
      <c r="B34" s="310" t="s">
        <v>30</v>
      </c>
      <c r="C34" s="405"/>
      <c r="D34" s="317">
        <f>Inputs!K75</f>
        <v>25200000</v>
      </c>
      <c r="G34" s="368"/>
      <c r="H34" s="314"/>
      <c r="I34" s="314"/>
      <c r="J34" s="314"/>
      <c r="K34" s="314"/>
      <c r="L34" s="314"/>
      <c r="M34" s="314"/>
      <c r="N34" s="314"/>
      <c r="O34" s="314"/>
      <c r="U34" s="295"/>
    </row>
    <row r="35" spans="2:21">
      <c r="B35" s="310" t="s">
        <v>31</v>
      </c>
      <c r="C35" s="405"/>
      <c r="D35" s="317">
        <f>Inputs!K76</f>
        <v>3002000</v>
      </c>
      <c r="G35" s="368"/>
      <c r="H35" s="314"/>
      <c r="I35" s="314"/>
      <c r="J35" s="314"/>
      <c r="K35" s="314"/>
      <c r="L35" s="314"/>
      <c r="M35" s="314"/>
      <c r="N35" s="314"/>
      <c r="O35" s="314"/>
      <c r="U35" s="295"/>
    </row>
    <row r="36" spans="2:21">
      <c r="B36" s="310" t="s">
        <v>32</v>
      </c>
      <c r="C36" s="405"/>
      <c r="D36" s="317">
        <f ca="1">Inputs!K77</f>
        <v>1545631.6058178002</v>
      </c>
      <c r="G36" s="368"/>
      <c r="H36" s="314"/>
      <c r="I36" s="314"/>
      <c r="J36" s="314"/>
      <c r="K36" s="314"/>
      <c r="L36" s="314"/>
      <c r="M36" s="314"/>
      <c r="N36" s="314"/>
      <c r="O36" s="314"/>
      <c r="U36" s="295"/>
    </row>
    <row r="37" spans="2:21">
      <c r="B37" s="318" t="s">
        <v>33</v>
      </c>
      <c r="C37" s="406"/>
      <c r="D37" s="316">
        <f ca="1">Inputs!K83</f>
        <v>34747631.605817802</v>
      </c>
      <c r="G37" s="368"/>
      <c r="H37" s="314"/>
      <c r="I37" s="314"/>
      <c r="J37" s="314"/>
      <c r="K37" s="314"/>
      <c r="L37" s="314"/>
      <c r="M37" s="314"/>
      <c r="N37" s="314"/>
      <c r="O37" s="314"/>
      <c r="U37" s="295"/>
    </row>
    <row r="38" spans="2:21">
      <c r="B38" s="308" t="s">
        <v>34</v>
      </c>
      <c r="C38" s="407"/>
      <c r="D38" s="317">
        <f ca="1">Inputs!K80</f>
        <v>20848578.519824382</v>
      </c>
      <c r="G38" s="368"/>
      <c r="H38" s="314"/>
      <c r="I38" s="314"/>
      <c r="J38" s="314"/>
      <c r="K38" s="314"/>
      <c r="L38" s="314"/>
      <c r="M38" s="314"/>
      <c r="N38" s="314"/>
      <c r="O38" s="314"/>
      <c r="U38" s="295"/>
    </row>
    <row r="39" spans="2:21">
      <c r="B39" s="310" t="s">
        <v>35</v>
      </c>
      <c r="D39" s="317">
        <f ca="1">Inputs!K81</f>
        <v>0</v>
      </c>
      <c r="G39" s="368"/>
      <c r="H39" s="314"/>
      <c r="I39" s="314"/>
      <c r="J39" s="314"/>
      <c r="K39" s="314"/>
      <c r="L39" s="314"/>
      <c r="M39" s="314"/>
      <c r="N39" s="314"/>
      <c r="O39" s="314"/>
      <c r="U39" s="295"/>
    </row>
    <row r="40" spans="2:21">
      <c r="B40" s="310" t="s">
        <v>36</v>
      </c>
      <c r="D40" s="317">
        <f ca="1">Inputs!K82</f>
        <v>13899053.08599342</v>
      </c>
      <c r="G40" s="368"/>
      <c r="H40" s="314"/>
      <c r="I40" s="314"/>
      <c r="J40" s="314"/>
      <c r="K40" s="314"/>
      <c r="L40" s="314"/>
      <c r="M40" s="314"/>
      <c r="N40" s="314"/>
      <c r="O40" s="314"/>
      <c r="U40" s="295"/>
    </row>
    <row r="41" spans="2:21">
      <c r="B41" s="310"/>
      <c r="D41" s="317"/>
      <c r="G41" s="368"/>
      <c r="H41" s="314"/>
      <c r="I41" s="314"/>
      <c r="J41" s="314"/>
      <c r="K41" s="314"/>
      <c r="L41" s="314"/>
      <c r="M41" s="314"/>
      <c r="N41" s="314"/>
      <c r="O41" s="314"/>
      <c r="U41" s="295"/>
    </row>
    <row r="42" spans="2:21">
      <c r="B42" s="304" t="s">
        <v>37</v>
      </c>
      <c r="C42" s="403"/>
      <c r="D42" s="316"/>
      <c r="G42" s="294"/>
      <c r="U42" s="295"/>
    </row>
    <row r="43" spans="2:21">
      <c r="B43" s="397" t="s">
        <v>38</v>
      </c>
      <c r="C43" s="323"/>
      <c r="D43" s="398">
        <f>Inputs!J112</f>
        <v>42253679.311917134</v>
      </c>
      <c r="G43" s="294"/>
      <c r="U43" s="295"/>
    </row>
    <row r="44" spans="2:21" ht="15" thickBot="1">
      <c r="B44" s="399" t="s">
        <v>39</v>
      </c>
      <c r="C44" s="323"/>
      <c r="D44" s="408">
        <f ca="1">Inputs!J111</f>
        <v>7.0699608474032852E-2</v>
      </c>
      <c r="G44" s="311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3"/>
    </row>
    <row r="45" spans="2:21">
      <c r="B45" s="395" t="s">
        <v>40</v>
      </c>
      <c r="C45" s="327"/>
      <c r="D45" s="420">
        <f ca="1">Inputs!I104</f>
        <v>0.22957487702369692</v>
      </c>
    </row>
    <row r="46" spans="2:21" ht="15" outlineLevel="1" thickBot="1">
      <c r="B46" s="294"/>
      <c r="D46" s="303"/>
    </row>
    <row r="47" spans="2:21" ht="20" outlineLevel="1" thickBot="1">
      <c r="B47" s="299" t="s">
        <v>41</v>
      </c>
      <c r="C47" s="401"/>
      <c r="D47" s="303"/>
      <c r="G47" s="319" t="s">
        <v>42</v>
      </c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3"/>
    </row>
    <row r="48" spans="2:21" ht="15" outlineLevel="1" thickTop="1">
      <c r="B48" s="294" t="s">
        <v>27</v>
      </c>
      <c r="D48" s="315">
        <f>Inputs!Q13</f>
        <v>18</v>
      </c>
      <c r="G48" s="294"/>
      <c r="U48" s="295"/>
    </row>
    <row r="49" spans="2:21" outlineLevel="1">
      <c r="B49" s="304" t="s">
        <v>28</v>
      </c>
      <c r="C49" s="403"/>
      <c r="D49" s="316">
        <f ca="1">Inputs!R78</f>
        <v>34832677.609451383</v>
      </c>
      <c r="G49" s="294"/>
      <c r="I49" s="448" t="s">
        <v>43</v>
      </c>
      <c r="J49" s="448"/>
      <c r="K49" s="448"/>
      <c r="L49" s="448"/>
      <c r="M49" s="448"/>
      <c r="N49" s="448"/>
      <c r="O49" s="448"/>
      <c r="R49" s="428" t="s">
        <v>44</v>
      </c>
      <c r="S49" s="429" t="s">
        <v>45</v>
      </c>
      <c r="T49" s="429"/>
      <c r="U49" s="295"/>
    </row>
    <row r="50" spans="2:21" outlineLevel="1">
      <c r="B50" s="308" t="s">
        <v>29</v>
      </c>
      <c r="C50" s="404"/>
      <c r="D50" s="317">
        <f>Inputs!R74</f>
        <v>5000000</v>
      </c>
      <c r="G50" s="294"/>
      <c r="H50" s="427">
        <f ca="1">D45-D62</f>
        <v>4.5912051200866721E-2</v>
      </c>
      <c r="I50" s="425">
        <f>L50*0.925</f>
        <v>259</v>
      </c>
      <c r="J50" s="425">
        <f>L50*0.95</f>
        <v>266</v>
      </c>
      <c r="K50" s="425">
        <f>L50*0.975</f>
        <v>273</v>
      </c>
      <c r="L50" s="425">
        <f>H54</f>
        <v>280</v>
      </c>
      <c r="M50" s="425">
        <f>L50*1.025</f>
        <v>287</v>
      </c>
      <c r="N50" s="425">
        <f>L50*1.05</f>
        <v>294</v>
      </c>
      <c r="O50" s="425">
        <f>L50*1.075</f>
        <v>301</v>
      </c>
      <c r="R50" s="428" t="s">
        <v>46</v>
      </c>
      <c r="S50" s="430">
        <v>280</v>
      </c>
      <c r="T50" s="430"/>
      <c r="U50" s="295"/>
    </row>
    <row r="51" spans="2:21" ht="14.25" customHeight="1" outlineLevel="1">
      <c r="B51" s="310" t="s">
        <v>30</v>
      </c>
      <c r="C51" s="405"/>
      <c r="D51" s="317">
        <f>Inputs!R75</f>
        <v>25200000</v>
      </c>
      <c r="G51" s="447" t="s">
        <v>47</v>
      </c>
      <c r="H51" s="426">
        <f>H54*0.925</f>
        <v>259</v>
      </c>
      <c r="I51" s="423">
        <f t="dataTable" ref="I51:O57" dt2D="1" dtr="1" r1="S51" r2="S50" ca="1"/>
        <v>6.3122260570526167E-2</v>
      </c>
      <c r="J51" s="424">
        <v>8.1373369693756081E-2</v>
      </c>
      <c r="K51" s="424">
        <v>9.9460780620574979E-2</v>
      </c>
      <c r="L51" s="424">
        <v>0.11742900609970094</v>
      </c>
      <c r="M51" s="424">
        <v>0.1352848768234253</v>
      </c>
      <c r="N51" s="424">
        <v>0.15300239324569706</v>
      </c>
      <c r="O51" s="424">
        <v>0.17058956623077395</v>
      </c>
      <c r="R51" s="428" t="s">
        <v>48</v>
      </c>
      <c r="S51" s="430">
        <v>280</v>
      </c>
      <c r="T51" s="430"/>
      <c r="U51" s="295"/>
    </row>
    <row r="52" spans="2:21" outlineLevel="1">
      <c r="B52" s="310" t="s">
        <v>31</v>
      </c>
      <c r="C52" s="405"/>
      <c r="D52" s="317">
        <f>Inputs!R76</f>
        <v>3002000</v>
      </c>
      <c r="G52" s="447"/>
      <c r="H52" s="426">
        <f>H54*0.95</f>
        <v>266</v>
      </c>
      <c r="I52" s="422">
        <v>3.8987314701080272E-2</v>
      </c>
      <c r="J52" s="421">
        <v>5.726238489151006E-2</v>
      </c>
      <c r="K52" s="421">
        <v>7.5375485420227095E-2</v>
      </c>
      <c r="L52" s="421">
        <v>9.3382751941680914E-2</v>
      </c>
      <c r="M52" s="421">
        <v>0.11126606464385988</v>
      </c>
      <c r="N52" s="421">
        <v>0.12901210784912112</v>
      </c>
      <c r="O52" s="421">
        <v>0.14662894010543828</v>
      </c>
      <c r="U52" s="295"/>
    </row>
    <row r="53" spans="2:21" ht="12.75" customHeight="1" outlineLevel="1">
      <c r="B53" s="310" t="s">
        <v>32</v>
      </c>
      <c r="C53" s="405"/>
      <c r="D53" s="317">
        <f ca="1">Inputs!R77</f>
        <v>1630677.6094513834</v>
      </c>
      <c r="G53" s="447"/>
      <c r="H53" s="426">
        <f>H54*0.975</f>
        <v>273</v>
      </c>
      <c r="I53" s="422">
        <v>1.5090668201446583E-2</v>
      </c>
      <c r="J53" s="421">
        <v>3.3391058444976779E-2</v>
      </c>
      <c r="K53" s="421">
        <v>5.1530230045318592E-2</v>
      </c>
      <c r="L53" s="421">
        <v>6.9576942920684809E-2</v>
      </c>
      <c r="M53" s="421">
        <v>8.7488150596618602E-2</v>
      </c>
      <c r="N53" s="421">
        <v>0.10526316165924071</v>
      </c>
      <c r="O53" s="421">
        <v>0.12291011810302735</v>
      </c>
      <c r="Q53" s="443" t="str">
        <f>"With modular &amp; traditional hard costs equal at $"&amp;L50&amp;" PSF, modular outperforms by " &amp;ROUND(L54,4)*100&amp;" points ROI."</f>
        <v>With modular &amp; traditional hard costs equal at $280 PSF, modular outperforms by 4.59 points ROI.</v>
      </c>
      <c r="R53" s="443"/>
      <c r="S53" s="443"/>
      <c r="T53" s="443"/>
      <c r="U53" s="444"/>
    </row>
    <row r="54" spans="2:21" outlineLevel="1">
      <c r="B54" s="318" t="s">
        <v>33</v>
      </c>
      <c r="C54" s="406"/>
      <c r="D54" s="316">
        <f ca="1">Inputs!R83</f>
        <v>34832677.609451383</v>
      </c>
      <c r="G54" s="447"/>
      <c r="H54" s="435">
        <v>280</v>
      </c>
      <c r="I54" s="422">
        <v>-8.6583733558654175E-3</v>
      </c>
      <c r="J54" s="421">
        <v>9.6678972244263195E-3</v>
      </c>
      <c r="K54" s="421">
        <v>2.7834045886993369E-2</v>
      </c>
      <c r="L54" s="421">
        <v>4.5920145511627208E-2</v>
      </c>
      <c r="M54" s="421">
        <v>6.385966539382934E-2</v>
      </c>
      <c r="N54" s="421">
        <v>8.1664109230041498E-2</v>
      </c>
      <c r="O54" s="421">
        <v>9.9341666698455788E-2</v>
      </c>
      <c r="Q54" s="443"/>
      <c r="R54" s="443"/>
      <c r="S54" s="443"/>
      <c r="T54" s="443"/>
      <c r="U54" s="444"/>
    </row>
    <row r="55" spans="2:21" outlineLevel="1">
      <c r="B55" s="308" t="s">
        <v>34</v>
      </c>
      <c r="C55" s="407"/>
      <c r="D55" s="317">
        <f ca="1">Inputs!R80</f>
        <v>20899606.935968425</v>
      </c>
      <c r="G55" s="447"/>
      <c r="H55" s="426">
        <f>H54*1.025</f>
        <v>287</v>
      </c>
      <c r="I55" s="422">
        <v>-3.22219967842102E-2</v>
      </c>
      <c r="J55" s="421">
        <v>-1.3869690895080555E-2</v>
      </c>
      <c r="K55" s="421">
        <v>4.3384909629821944E-3</v>
      </c>
      <c r="L55" s="421">
        <v>2.2449791431427057E-2</v>
      </c>
      <c r="M55" s="421">
        <v>4.0418076515197771E-2</v>
      </c>
      <c r="N55" s="421">
        <v>5.8252394199371393E-2</v>
      </c>
      <c r="O55" s="421">
        <v>7.5961041450500533E-2</v>
      </c>
      <c r="Q55" s="443"/>
      <c r="R55" s="443"/>
      <c r="S55" s="443"/>
      <c r="T55" s="443"/>
      <c r="U55" s="444"/>
    </row>
    <row r="56" spans="2:21" ht="12.75" customHeight="1" outlineLevel="1">
      <c r="B56" s="310" t="s">
        <v>35</v>
      </c>
      <c r="D56" s="317">
        <f ca="1">Inputs!R66</f>
        <v>0</v>
      </c>
      <c r="G56" s="447"/>
      <c r="H56" s="426">
        <f>H54*1.05</f>
        <v>294</v>
      </c>
      <c r="I56" s="422">
        <v>-5.5589830875396734E-2</v>
      </c>
      <c r="J56" s="421">
        <v>-3.7211096286773715E-2</v>
      </c>
      <c r="K56" s="421">
        <v>-1.8963038921356201E-2</v>
      </c>
      <c r="L56" s="421">
        <v>-8.2367658615112305E-4</v>
      </c>
      <c r="M56" s="421">
        <v>1.7173922061920116E-2</v>
      </c>
      <c r="N56" s="421">
        <v>3.5038638114929216E-2</v>
      </c>
      <c r="O56" s="421">
        <v>5.2778887748718278E-2</v>
      </c>
      <c r="Q56" s="443" t="str">
        <f>IF(J54&gt;0,"Modular construction at $"&amp;H54&amp;" PSF outperforms traditional at $"&amp;J50&amp;" PSF by "&amp;ROUND(J54,4)*100&amp;" points ROI.","")</f>
        <v>Modular construction at $280 PSF outperforms traditional at $266 PSF by 0.97 points ROI.</v>
      </c>
      <c r="R56" s="443"/>
      <c r="S56" s="443"/>
      <c r="T56" s="443"/>
      <c r="U56" s="444"/>
    </row>
    <row r="57" spans="2:21" outlineLevel="1">
      <c r="B57" s="310" t="s">
        <v>36</v>
      </c>
      <c r="D57" s="317">
        <f ca="1">Inputs!R82</f>
        <v>13933070.673482958</v>
      </c>
      <c r="G57" s="447"/>
      <c r="H57" s="426">
        <f>H54*1.075</f>
        <v>301</v>
      </c>
      <c r="I57" s="422">
        <v>-7.8777563571929998E-2</v>
      </c>
      <c r="J57" s="421">
        <v>-6.0372018814086964E-2</v>
      </c>
      <c r="K57" s="421">
        <v>-4.2083656787872348E-2</v>
      </c>
      <c r="L57" s="421">
        <v>-2.3915743827819858E-2</v>
      </c>
      <c r="M57" s="421">
        <v>-5.8883905410767046E-3</v>
      </c>
      <c r="N57" s="421">
        <v>1.2007212638854986E-2</v>
      </c>
      <c r="O57" s="421">
        <v>2.9779565334320052E-2</v>
      </c>
      <c r="Q57" s="443"/>
      <c r="R57" s="443"/>
      <c r="S57" s="443"/>
      <c r="T57" s="443"/>
      <c r="U57" s="444"/>
    </row>
    <row r="58" spans="2:21" ht="15" outlineLevel="1" thickBot="1">
      <c r="B58" s="310"/>
      <c r="D58" s="317"/>
      <c r="G58" s="311"/>
      <c r="H58" s="312"/>
      <c r="I58" s="312"/>
      <c r="J58" s="312"/>
      <c r="K58" s="312"/>
      <c r="L58" s="312"/>
      <c r="M58" s="312"/>
      <c r="N58" s="312"/>
      <c r="O58" s="312"/>
      <c r="P58" s="312"/>
      <c r="Q58" s="445"/>
      <c r="R58" s="445"/>
      <c r="S58" s="445"/>
      <c r="T58" s="445"/>
      <c r="U58" s="446"/>
    </row>
    <row r="59" spans="2:21" outlineLevel="1">
      <c r="B59" s="304" t="s">
        <v>37</v>
      </c>
      <c r="C59" s="403"/>
      <c r="D59" s="316"/>
    </row>
    <row r="60" spans="2:21" outlineLevel="1">
      <c r="B60" s="397" t="s">
        <v>38</v>
      </c>
      <c r="C60" s="323"/>
      <c r="D60" s="398">
        <f>Inputs!Q112</f>
        <v>42253679.311917134</v>
      </c>
    </row>
    <row r="61" spans="2:21" outlineLevel="1">
      <c r="B61" s="399" t="s">
        <v>39</v>
      </c>
      <c r="C61" s="323"/>
      <c r="D61" s="400">
        <f ca="1">Inputs!Q111</f>
        <v>7.0526991277428258E-2</v>
      </c>
    </row>
    <row r="62" spans="2:21" ht="17.25" customHeight="1" outlineLevel="1">
      <c r="B62" s="395" t="s">
        <v>40</v>
      </c>
      <c r="C62" s="327"/>
      <c r="D62" s="396">
        <f ca="1">Inputs!P104</f>
        <v>0.18366263508796693</v>
      </c>
    </row>
    <row r="63" spans="2:21" outlineLevel="1">
      <c r="B63" s="395"/>
      <c r="C63" s="327"/>
      <c r="D63" s="396"/>
    </row>
    <row r="64" spans="2:21" outlineLevel="1">
      <c r="B64" s="409" t="s">
        <v>49</v>
      </c>
      <c r="C64" s="410"/>
      <c r="D64" s="411"/>
    </row>
    <row r="65" spans="2:7" outlineLevel="1">
      <c r="B65" s="412" t="s">
        <v>27</v>
      </c>
      <c r="C65" s="410"/>
      <c r="D65" s="413">
        <f>(D48-D31)/D48</f>
        <v>0.33333333333333331</v>
      </c>
      <c r="G65" s="369"/>
    </row>
    <row r="66" spans="2:7" outlineLevel="1">
      <c r="B66" s="412" t="s">
        <v>32</v>
      </c>
      <c r="C66" s="414"/>
      <c r="D66" s="415">
        <f ca="1">(SUM(Inputs!R49,Inputs!R51)-SUM(Inputs!K49,Inputs!K51))/SUM(Inputs!R49,Inputs!R51)</f>
        <v>5.9461794927687772E-2</v>
      </c>
      <c r="G66" s="369"/>
    </row>
    <row r="67" spans="2:7" outlineLevel="1">
      <c r="B67" s="412" t="s">
        <v>50</v>
      </c>
      <c r="C67" s="410"/>
      <c r="D67" s="416">
        <f ca="1">D45-D62</f>
        <v>4.5912241935729986E-2</v>
      </c>
      <c r="G67" s="369"/>
    </row>
    <row r="68" spans="2:7" ht="15" outlineLevel="1" thickBot="1">
      <c r="B68" s="417" t="s">
        <v>51</v>
      </c>
      <c r="C68" s="418"/>
      <c r="D68" s="419">
        <f ca="1">(D45-D62)/D62</f>
        <v>0.2499813961274153</v>
      </c>
    </row>
    <row r="69" spans="2:7" outlineLevel="1"/>
    <row r="70" spans="2:7" outlineLevel="1"/>
    <row r="71" spans="2:7" outlineLevel="1"/>
    <row r="72" spans="2:7" outlineLevel="1"/>
    <row r="73" spans="2:7" outlineLevel="1"/>
    <row r="74" spans="2:7" outlineLevel="1"/>
    <row r="75" spans="2:7" outlineLevel="1"/>
    <row r="76" spans="2:7" outlineLevel="1"/>
    <row r="77" spans="2:7" outlineLevel="1"/>
    <row r="78" spans="2:7" outlineLevel="1"/>
    <row r="79" spans="2:7" outlineLevel="1"/>
    <row r="80" spans="2:7" outlineLevel="1"/>
  </sheetData>
  <mergeCells count="12">
    <mergeCell ref="Q53:U55"/>
    <mergeCell ref="Q56:U58"/>
    <mergeCell ref="G51:G57"/>
    <mergeCell ref="I49:O49"/>
    <mergeCell ref="S8:U8"/>
    <mergeCell ref="O8:P8"/>
    <mergeCell ref="Q8:R8"/>
    <mergeCell ref="B8:D8"/>
    <mergeCell ref="G8:H8"/>
    <mergeCell ref="I8:J8"/>
    <mergeCell ref="K8:L8"/>
    <mergeCell ref="M8:N8"/>
  </mergeCells>
  <phoneticPr fontId="12" type="noConversion"/>
  <conditionalFormatting sqref="I51:O57">
    <cfRule type="cellIs" dxfId="0" priority="1" operator="greaterThan">
      <formula>0</formula>
    </cfRule>
  </conditionalFormatting>
  <dataValidations count="1">
    <dataValidation type="list" allowBlank="1" showInputMessage="1" showErrorMessage="1" sqref="S49:T49" xr:uid="{399CFEE9-CFFB-4F8A-8E6A-24901DA69889}">
      <formula1>"On, Off"</formula1>
    </dataValidation>
  </dataValidation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BB4F-8403-4763-8522-D6ED49727D16}">
  <sheetPr>
    <tabColor theme="4"/>
  </sheetPr>
  <dimension ref="A4:AF117"/>
  <sheetViews>
    <sheetView showGridLines="0" zoomScale="80" zoomScaleNormal="80" workbookViewId="0">
      <selection activeCell="E8" sqref="E8"/>
    </sheetView>
  </sheetViews>
  <sheetFormatPr baseColWidth="10" defaultColWidth="8.83203125" defaultRowHeight="14"/>
  <cols>
    <col min="1" max="1" width="40.5" style="119" customWidth="1"/>
    <col min="2" max="2" width="16.5" style="119" bestFit="1" customWidth="1"/>
    <col min="3" max="3" width="12.5" style="119" bestFit="1" customWidth="1"/>
    <col min="4" max="4" width="19" style="119" bestFit="1" customWidth="1"/>
    <col min="5" max="5" width="22.83203125" style="119" customWidth="1"/>
    <col min="6" max="6" width="5.1640625" style="119" customWidth="1"/>
    <col min="7" max="7" width="4.1640625" style="119" customWidth="1"/>
    <col min="8" max="8" width="35" style="119" bestFit="1" customWidth="1"/>
    <col min="9" max="9" width="13.5" style="119" bestFit="1" customWidth="1"/>
    <col min="10" max="10" width="13.6640625" style="119" bestFit="1" customWidth="1"/>
    <col min="11" max="11" width="14.5" style="119" bestFit="1" customWidth="1"/>
    <col min="12" max="12" width="4.1640625" style="119" customWidth="1"/>
    <col min="13" max="13" width="4.33203125" style="119" customWidth="1"/>
    <col min="14" max="14" width="4" style="119" customWidth="1"/>
    <col min="15" max="15" width="35" style="119" bestFit="1" customWidth="1"/>
    <col min="16" max="16" width="14.6640625" style="119" customWidth="1"/>
    <col min="17" max="17" width="13.6640625" style="119" bestFit="1" customWidth="1"/>
    <col min="18" max="18" width="21.33203125" style="119" bestFit="1" customWidth="1"/>
    <col min="19" max="19" width="4.1640625" style="119" customWidth="1"/>
    <col min="20" max="20" width="5.1640625" style="119" customWidth="1"/>
    <col min="21" max="21" width="31.83203125" style="119" bestFit="1" customWidth="1"/>
    <col min="22" max="22" width="13.83203125" style="119" bestFit="1" customWidth="1"/>
    <col min="23" max="23" width="15.5" style="119" bestFit="1" customWidth="1"/>
    <col min="24" max="24" width="13.1640625" style="119" bestFit="1" customWidth="1"/>
    <col min="25" max="25" width="15.83203125" style="119" bestFit="1" customWidth="1"/>
    <col min="26" max="26" width="13.5" style="119" bestFit="1" customWidth="1"/>
    <col min="27" max="27" width="13.33203125" style="119" bestFit="1" customWidth="1"/>
    <col min="28" max="30" width="13.1640625" style="119" bestFit="1" customWidth="1"/>
    <col min="31" max="31" width="13.5" style="119" bestFit="1" customWidth="1"/>
    <col min="32" max="16384" width="8.83203125" style="119"/>
  </cols>
  <sheetData>
    <row r="4" spans="1:32" ht="15" thickBot="1"/>
    <row r="5" spans="1:32" s="107" customFormat="1" ht="20" thickBot="1">
      <c r="A5" s="370" t="s">
        <v>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</row>
    <row r="6" spans="1:32" ht="19">
      <c r="A6" s="108" t="s">
        <v>53</v>
      </c>
      <c r="B6" s="109"/>
      <c r="C6" s="109"/>
      <c r="D6" s="109"/>
      <c r="E6" s="110"/>
      <c r="F6" s="323"/>
      <c r="G6" s="111"/>
      <c r="H6" s="449" t="s">
        <v>54</v>
      </c>
      <c r="I6" s="449"/>
      <c r="J6" s="449"/>
      <c r="K6" s="449"/>
      <c r="L6" s="112"/>
      <c r="M6" s="323"/>
      <c r="N6" s="113"/>
      <c r="O6" s="450" t="s">
        <v>55</v>
      </c>
      <c r="P6" s="450"/>
      <c r="Q6" s="450"/>
      <c r="R6" s="450"/>
      <c r="S6" s="114"/>
      <c r="T6" s="323"/>
      <c r="U6" s="115" t="s">
        <v>56</v>
      </c>
      <c r="V6" s="116">
        <v>1</v>
      </c>
      <c r="W6" s="116">
        <v>2</v>
      </c>
      <c r="X6" s="116">
        <v>3</v>
      </c>
      <c r="Y6" s="116">
        <v>4</v>
      </c>
      <c r="Z6" s="116">
        <v>5</v>
      </c>
      <c r="AA6" s="116">
        <v>6</v>
      </c>
      <c r="AB6" s="116">
        <v>7</v>
      </c>
      <c r="AC6" s="116">
        <v>8</v>
      </c>
      <c r="AD6" s="116">
        <v>9</v>
      </c>
      <c r="AE6" s="117">
        <v>10</v>
      </c>
      <c r="AF6" s="118"/>
    </row>
    <row r="7" spans="1:32">
      <c r="A7" s="120" t="s">
        <v>57</v>
      </c>
      <c r="B7" s="121"/>
      <c r="C7" s="122"/>
      <c r="D7" s="122"/>
      <c r="E7" s="123" t="s">
        <v>312</v>
      </c>
      <c r="F7" s="323"/>
      <c r="G7" s="124"/>
      <c r="H7" s="125" t="s">
        <v>58</v>
      </c>
      <c r="I7" s="126"/>
      <c r="J7" s="126"/>
      <c r="K7" s="127"/>
      <c r="L7" s="128"/>
      <c r="M7" s="323"/>
      <c r="N7" s="129"/>
      <c r="O7" s="125" t="s">
        <v>58</v>
      </c>
      <c r="P7" s="126"/>
      <c r="Q7" s="126"/>
      <c r="R7" s="127"/>
      <c r="S7" s="130"/>
      <c r="T7" s="348"/>
      <c r="U7" s="131"/>
      <c r="V7" s="132"/>
      <c r="W7" s="133"/>
      <c r="X7" s="133"/>
      <c r="Y7" s="133"/>
      <c r="Z7" s="133"/>
      <c r="AA7" s="133"/>
      <c r="AB7" s="133"/>
      <c r="AC7" s="133"/>
      <c r="AD7" s="133"/>
      <c r="AE7" s="134"/>
      <c r="AF7" s="118"/>
    </row>
    <row r="8" spans="1:32">
      <c r="A8" s="135" t="s">
        <v>59</v>
      </c>
      <c r="B8" s="323"/>
      <c r="C8" s="323"/>
      <c r="D8" s="323"/>
      <c r="E8" s="136">
        <f>J14</f>
        <v>90000</v>
      </c>
      <c r="F8" s="323"/>
      <c r="G8" s="124"/>
      <c r="H8" s="137" t="s">
        <v>60</v>
      </c>
      <c r="I8" s="122"/>
      <c r="J8" s="138">
        <v>0</v>
      </c>
      <c r="K8" s="139" t="s">
        <v>61</v>
      </c>
      <c r="L8" s="128"/>
      <c r="M8" s="323"/>
      <c r="N8" s="129"/>
      <c r="O8" s="137" t="s">
        <v>60</v>
      </c>
      <c r="P8" s="122"/>
      <c r="Q8" s="138">
        <v>0</v>
      </c>
      <c r="R8" s="139" t="s">
        <v>61</v>
      </c>
      <c r="S8" s="130"/>
      <c r="T8" s="323"/>
      <c r="U8" s="140" t="s">
        <v>62</v>
      </c>
      <c r="V8" s="141">
        <f>E32</f>
        <v>5748750</v>
      </c>
      <c r="W8" s="141">
        <f t="shared" ref="W8:AE8" si="0">V8*(1+$E$23)</f>
        <v>5892468.7499999991</v>
      </c>
      <c r="X8" s="141">
        <f t="shared" si="0"/>
        <v>6039780.4687499981</v>
      </c>
      <c r="Y8" s="141">
        <f t="shared" si="0"/>
        <v>6190774.9804687472</v>
      </c>
      <c r="Z8" s="141">
        <f t="shared" si="0"/>
        <v>6345544.354980465</v>
      </c>
      <c r="AA8" s="141">
        <f t="shared" si="0"/>
        <v>6504182.963854976</v>
      </c>
      <c r="AB8" s="141">
        <f t="shared" si="0"/>
        <v>6666787.5379513502</v>
      </c>
      <c r="AC8" s="141">
        <f t="shared" si="0"/>
        <v>6833457.2264001332</v>
      </c>
      <c r="AD8" s="141">
        <f t="shared" si="0"/>
        <v>7004293.6570601361</v>
      </c>
      <c r="AE8" s="142">
        <f t="shared" si="0"/>
        <v>7179400.998486639</v>
      </c>
      <c r="AF8" s="118"/>
    </row>
    <row r="9" spans="1:32">
      <c r="A9" s="135" t="s">
        <v>10</v>
      </c>
      <c r="B9" s="323"/>
      <c r="C9" s="323"/>
      <c r="D9" s="323"/>
      <c r="E9" s="136">
        <f>J16</f>
        <v>75000</v>
      </c>
      <c r="F9" s="323"/>
      <c r="G9" s="124"/>
      <c r="H9" s="143" t="s">
        <v>11</v>
      </c>
      <c r="I9" s="323"/>
      <c r="J9" s="144">
        <v>15000</v>
      </c>
      <c r="K9" s="145" t="s">
        <v>61</v>
      </c>
      <c r="L9" s="128"/>
      <c r="M9" s="323"/>
      <c r="N9" s="129"/>
      <c r="O9" s="143" t="s">
        <v>11</v>
      </c>
      <c r="P9" s="323"/>
      <c r="Q9" s="144">
        <v>15000</v>
      </c>
      <c r="R9" s="145" t="s">
        <v>61</v>
      </c>
      <c r="S9" s="130"/>
      <c r="T9" s="323"/>
      <c r="U9" s="140" t="s">
        <v>63</v>
      </c>
      <c r="V9" s="141">
        <f>E34</f>
        <v>1241730</v>
      </c>
      <c r="W9" s="141">
        <f t="shared" ref="W9:AE9" si="1">V9*(1+$E$24)</f>
        <v>1266564.6000000001</v>
      </c>
      <c r="X9" s="141">
        <f t="shared" si="1"/>
        <v>1291895.8920000002</v>
      </c>
      <c r="Y9" s="141">
        <f t="shared" si="1"/>
        <v>1317733.8098400002</v>
      </c>
      <c r="Z9" s="141">
        <f t="shared" si="1"/>
        <v>1344088.4860368003</v>
      </c>
      <c r="AA9" s="141">
        <f t="shared" si="1"/>
        <v>1370970.2557575363</v>
      </c>
      <c r="AB9" s="141">
        <f t="shared" si="1"/>
        <v>1398389.6608726871</v>
      </c>
      <c r="AC9" s="141">
        <f t="shared" si="1"/>
        <v>1426357.454090141</v>
      </c>
      <c r="AD9" s="141">
        <f t="shared" si="1"/>
        <v>1454884.6031719439</v>
      </c>
      <c r="AE9" s="142">
        <f t="shared" si="1"/>
        <v>1483982.2952353829</v>
      </c>
      <c r="AF9" s="118"/>
    </row>
    <row r="10" spans="1:32">
      <c r="A10" s="135" t="s">
        <v>11</v>
      </c>
      <c r="B10" s="323"/>
      <c r="C10" s="323"/>
      <c r="D10" s="323"/>
      <c r="E10" s="136">
        <f>E8-E9</f>
        <v>15000</v>
      </c>
      <c r="F10" s="323"/>
      <c r="G10" s="124"/>
      <c r="H10" s="143" t="s">
        <v>64</v>
      </c>
      <c r="I10" s="323"/>
      <c r="J10" s="324">
        <v>1</v>
      </c>
      <c r="K10" s="145" t="s">
        <v>65</v>
      </c>
      <c r="L10" s="128"/>
      <c r="M10" s="323"/>
      <c r="N10" s="129"/>
      <c r="O10" s="143" t="s">
        <v>64</v>
      </c>
      <c r="P10" s="323"/>
      <c r="Q10" s="324">
        <v>6</v>
      </c>
      <c r="R10" s="145" t="s">
        <v>65</v>
      </c>
      <c r="S10" s="130"/>
      <c r="T10" s="323"/>
      <c r="U10" s="146" t="s">
        <v>66</v>
      </c>
      <c r="V10" s="147">
        <f>E35</f>
        <v>383250</v>
      </c>
      <c r="W10" s="141">
        <f t="shared" ref="W10:AE10" si="2">V10*(1+$E$24)</f>
        <v>390915</v>
      </c>
      <c r="X10" s="141">
        <f t="shared" si="2"/>
        <v>398733.3</v>
      </c>
      <c r="Y10" s="141">
        <f t="shared" si="2"/>
        <v>406707.96600000001</v>
      </c>
      <c r="Z10" s="141">
        <f t="shared" si="2"/>
        <v>414842.12532000005</v>
      </c>
      <c r="AA10" s="141">
        <f t="shared" si="2"/>
        <v>423138.96782640007</v>
      </c>
      <c r="AB10" s="141">
        <f t="shared" si="2"/>
        <v>431601.74718292808</v>
      </c>
      <c r="AC10" s="141">
        <f t="shared" si="2"/>
        <v>440233.78212658665</v>
      </c>
      <c r="AD10" s="141">
        <f t="shared" si="2"/>
        <v>449038.45776911837</v>
      </c>
      <c r="AE10" s="142">
        <f t="shared" si="2"/>
        <v>458019.22692450072</v>
      </c>
      <c r="AF10" s="118"/>
    </row>
    <row r="11" spans="1:32">
      <c r="A11" s="148" t="s">
        <v>67</v>
      </c>
      <c r="B11" s="149"/>
      <c r="C11" s="149"/>
      <c r="D11" s="149"/>
      <c r="E11" s="150">
        <f>E29</f>
        <v>150</v>
      </c>
      <c r="F11" s="323"/>
      <c r="G11" s="124"/>
      <c r="H11" s="143" t="s">
        <v>68</v>
      </c>
      <c r="I11" s="323"/>
      <c r="J11" s="144">
        <v>15000</v>
      </c>
      <c r="K11" s="145" t="s">
        <v>61</v>
      </c>
      <c r="L11" s="128"/>
      <c r="M11" s="323"/>
      <c r="N11" s="129"/>
      <c r="O11" s="143" t="s">
        <v>68</v>
      </c>
      <c r="P11" s="323"/>
      <c r="Q11" s="144">
        <v>0</v>
      </c>
      <c r="R11" s="145" t="s">
        <v>61</v>
      </c>
      <c r="S11" s="130"/>
      <c r="T11" s="348"/>
      <c r="U11" s="151" t="s">
        <v>69</v>
      </c>
      <c r="V11" s="132">
        <f>SUM(V8:V10)</f>
        <v>7373730</v>
      </c>
      <c r="W11" s="132">
        <f t="shared" ref="W11:AE11" si="3">SUM(W8:W10)</f>
        <v>7549948.3499999996</v>
      </c>
      <c r="X11" s="132">
        <f t="shared" si="3"/>
        <v>7730409.6607499979</v>
      </c>
      <c r="Y11" s="132">
        <f t="shared" si="3"/>
        <v>7915216.7563087475</v>
      </c>
      <c r="Z11" s="132">
        <f t="shared" si="3"/>
        <v>8104474.9663372645</v>
      </c>
      <c r="AA11" s="132">
        <f t="shared" si="3"/>
        <v>8298292.1874389127</v>
      </c>
      <c r="AB11" s="132">
        <f t="shared" si="3"/>
        <v>8496778.9460069649</v>
      </c>
      <c r="AC11" s="132">
        <f t="shared" si="3"/>
        <v>8700048.4626168609</v>
      </c>
      <c r="AD11" s="132">
        <f t="shared" si="3"/>
        <v>8908216.718001198</v>
      </c>
      <c r="AE11" s="152">
        <f t="shared" si="3"/>
        <v>9121402.5206465237</v>
      </c>
      <c r="AF11" s="118"/>
    </row>
    <row r="12" spans="1:32">
      <c r="A12" s="135"/>
      <c r="B12" s="323"/>
      <c r="C12" s="323"/>
      <c r="D12" s="323"/>
      <c r="E12" s="324"/>
      <c r="F12" s="323"/>
      <c r="G12" s="124"/>
      <c r="H12" s="153" t="s">
        <v>70</v>
      </c>
      <c r="I12" s="149"/>
      <c r="J12" s="154">
        <v>5</v>
      </c>
      <c r="K12" s="155" t="s">
        <v>65</v>
      </c>
      <c r="L12" s="128"/>
      <c r="M12" s="323"/>
      <c r="N12" s="129"/>
      <c r="O12" s="153" t="s">
        <v>70</v>
      </c>
      <c r="P12" s="149"/>
      <c r="Q12" s="154">
        <v>0</v>
      </c>
      <c r="R12" s="155" t="s">
        <v>65</v>
      </c>
      <c r="S12" s="130"/>
      <c r="T12" s="323"/>
      <c r="U12" s="143"/>
      <c r="V12" s="141"/>
      <c r="W12" s="141"/>
      <c r="X12" s="141"/>
      <c r="Y12" s="141"/>
      <c r="Z12" s="141"/>
      <c r="AA12" s="141"/>
      <c r="AB12" s="141"/>
      <c r="AC12" s="141"/>
      <c r="AD12" s="141"/>
      <c r="AE12" s="142"/>
      <c r="AF12" s="118"/>
    </row>
    <row r="13" spans="1:32">
      <c r="A13" s="349" t="s">
        <v>71</v>
      </c>
      <c r="B13" s="156"/>
      <c r="C13" s="156"/>
      <c r="D13" s="156"/>
      <c r="E13" s="157"/>
      <c r="F13" s="323"/>
      <c r="G13" s="124"/>
      <c r="H13" s="153" t="s">
        <v>27</v>
      </c>
      <c r="I13" s="149"/>
      <c r="J13" s="154">
        <v>12</v>
      </c>
      <c r="K13" s="155" t="s">
        <v>72</v>
      </c>
      <c r="L13" s="128"/>
      <c r="M13" s="323"/>
      <c r="N13" s="129"/>
      <c r="O13" s="153" t="s">
        <v>27</v>
      </c>
      <c r="P13" s="149"/>
      <c r="Q13" s="154">
        <v>18</v>
      </c>
      <c r="R13" s="155" t="s">
        <v>72</v>
      </c>
      <c r="S13" s="130"/>
      <c r="T13" s="348"/>
      <c r="U13" s="143" t="s">
        <v>73</v>
      </c>
      <c r="V13" s="141">
        <f>-SUM(E40:E41)</f>
        <v>-467800</v>
      </c>
      <c r="W13" s="141">
        <f t="shared" ref="W13:AE13" si="4">V13*(1+$E$25)</f>
        <v>-477156</v>
      </c>
      <c r="X13" s="141">
        <f t="shared" si="4"/>
        <v>-486699.12</v>
      </c>
      <c r="Y13" s="141">
        <f t="shared" si="4"/>
        <v>-496433.10240000003</v>
      </c>
      <c r="Z13" s="141">
        <f t="shared" si="4"/>
        <v>-506361.76444800006</v>
      </c>
      <c r="AA13" s="141">
        <f t="shared" si="4"/>
        <v>-516488.99973696005</v>
      </c>
      <c r="AB13" s="141">
        <f t="shared" si="4"/>
        <v>-526818.77973169927</v>
      </c>
      <c r="AC13" s="141">
        <f t="shared" si="4"/>
        <v>-537355.15532633325</v>
      </c>
      <c r="AD13" s="141">
        <f t="shared" si="4"/>
        <v>-548102.2584328599</v>
      </c>
      <c r="AE13" s="142">
        <f t="shared" si="4"/>
        <v>-559064.30360151711</v>
      </c>
      <c r="AF13" s="118"/>
    </row>
    <row r="14" spans="1:32">
      <c r="A14" s="350" t="s">
        <v>12</v>
      </c>
      <c r="B14" s="158"/>
      <c r="C14" s="158"/>
      <c r="D14" s="158"/>
      <c r="E14" s="159"/>
      <c r="F14" s="323"/>
      <c r="G14" s="124"/>
      <c r="H14" s="160" t="s">
        <v>74</v>
      </c>
      <c r="I14" s="149"/>
      <c r="J14" s="161">
        <f>J9*J10+J16</f>
        <v>90000</v>
      </c>
      <c r="K14" s="155" t="s">
        <v>61</v>
      </c>
      <c r="L14" s="128"/>
      <c r="M14" s="323"/>
      <c r="N14" s="129"/>
      <c r="O14" s="160" t="s">
        <v>74</v>
      </c>
      <c r="P14" s="149"/>
      <c r="Q14" s="161">
        <f>Q9*Q10+Q16</f>
        <v>90000</v>
      </c>
      <c r="R14" s="155" t="s">
        <v>61</v>
      </c>
      <c r="S14" s="130"/>
      <c r="T14" s="323"/>
      <c r="U14" s="143" t="s">
        <v>75</v>
      </c>
      <c r="V14" s="141">
        <f>-SUM(E43:E45)</f>
        <v>-2387647.5</v>
      </c>
      <c r="W14" s="141">
        <f t="shared" ref="W14:AE14" si="5">V14*(1+$E$25)</f>
        <v>-2435400.4500000002</v>
      </c>
      <c r="X14" s="141">
        <f t="shared" si="5"/>
        <v>-2484108.4590000003</v>
      </c>
      <c r="Y14" s="141">
        <f t="shared" si="5"/>
        <v>-2533790.6281800005</v>
      </c>
      <c r="Z14" s="141">
        <f t="shared" si="5"/>
        <v>-2584466.4407436005</v>
      </c>
      <c r="AA14" s="141">
        <f t="shared" si="5"/>
        <v>-2636155.7695584726</v>
      </c>
      <c r="AB14" s="141">
        <f t="shared" si="5"/>
        <v>-2688878.8849496422</v>
      </c>
      <c r="AC14" s="141">
        <f t="shared" si="5"/>
        <v>-2742656.4626486353</v>
      </c>
      <c r="AD14" s="141">
        <f t="shared" si="5"/>
        <v>-2797509.5919016078</v>
      </c>
      <c r="AE14" s="142">
        <f t="shared" si="5"/>
        <v>-2853459.7837396399</v>
      </c>
      <c r="AF14" s="118"/>
    </row>
    <row r="15" spans="1:32">
      <c r="A15" s="351" t="s">
        <v>76</v>
      </c>
      <c r="B15" s="122"/>
      <c r="C15" s="122"/>
      <c r="D15" s="122"/>
      <c r="E15" s="162">
        <v>150</v>
      </c>
      <c r="F15" s="323"/>
      <c r="G15" s="124"/>
      <c r="H15" s="160" t="s">
        <v>77</v>
      </c>
      <c r="I15" s="149"/>
      <c r="J15" s="161">
        <f>J9*J10</f>
        <v>15000</v>
      </c>
      <c r="K15" s="155" t="s">
        <v>61</v>
      </c>
      <c r="L15" s="128"/>
      <c r="M15" s="323"/>
      <c r="N15" s="129"/>
      <c r="O15" s="160" t="s">
        <v>77</v>
      </c>
      <c r="P15" s="149"/>
      <c r="Q15" s="161">
        <f>Q9*Q10</f>
        <v>90000</v>
      </c>
      <c r="R15" s="155" t="s">
        <v>61</v>
      </c>
      <c r="S15" s="130"/>
      <c r="T15" s="323"/>
      <c r="U15" s="143" t="s">
        <v>78</v>
      </c>
      <c r="V15" s="141">
        <f>-SUM(E47:E54)</f>
        <v>-2027775.75</v>
      </c>
      <c r="W15" s="141">
        <f t="shared" ref="W15:AE15" si="6">V15*(1+$E$25)</f>
        <v>-2068331.2650000001</v>
      </c>
      <c r="X15" s="141">
        <f t="shared" si="6"/>
        <v>-2109697.8903000001</v>
      </c>
      <c r="Y15" s="141">
        <f t="shared" si="6"/>
        <v>-2151891.8481060001</v>
      </c>
      <c r="Z15" s="141">
        <f t="shared" si="6"/>
        <v>-2194929.6850681202</v>
      </c>
      <c r="AA15" s="141">
        <f t="shared" si="6"/>
        <v>-2238828.2787694829</v>
      </c>
      <c r="AB15" s="141">
        <f t="shared" si="6"/>
        <v>-2283604.8443448725</v>
      </c>
      <c r="AC15" s="141">
        <f t="shared" si="6"/>
        <v>-2329276.94123177</v>
      </c>
      <c r="AD15" s="141">
        <f t="shared" si="6"/>
        <v>-2375862.4800564055</v>
      </c>
      <c r="AE15" s="142">
        <f t="shared" si="6"/>
        <v>-2423379.7296575336</v>
      </c>
      <c r="AF15" s="118"/>
    </row>
    <row r="16" spans="1:32">
      <c r="A16" s="135" t="s">
        <v>79</v>
      </c>
      <c r="B16" s="323"/>
      <c r="C16" s="323"/>
      <c r="D16" s="323"/>
      <c r="E16" s="163">
        <v>365</v>
      </c>
      <c r="F16" s="323"/>
      <c r="G16" s="124"/>
      <c r="H16" s="160" t="s">
        <v>80</v>
      </c>
      <c r="I16" s="149"/>
      <c r="J16" s="161">
        <f>J11*J12</f>
        <v>75000</v>
      </c>
      <c r="K16" s="155" t="s">
        <v>61</v>
      </c>
      <c r="L16" s="128"/>
      <c r="M16" s="323"/>
      <c r="N16" s="129"/>
      <c r="O16" s="160" t="s">
        <v>80</v>
      </c>
      <c r="P16" s="149"/>
      <c r="Q16" s="161">
        <f>Q11*Q12</f>
        <v>0</v>
      </c>
      <c r="R16" s="155" t="s">
        <v>61</v>
      </c>
      <c r="S16" s="130"/>
      <c r="T16" s="352"/>
      <c r="U16" s="153" t="s">
        <v>81</v>
      </c>
      <c r="V16" s="147">
        <f t="shared" ref="V16:AE16" si="7">-$C$56*V11</f>
        <v>-184343.25</v>
      </c>
      <c r="W16" s="147">
        <f t="shared" si="7"/>
        <v>-188748.70874999999</v>
      </c>
      <c r="X16" s="147">
        <f t="shared" si="7"/>
        <v>-193260.24151874997</v>
      </c>
      <c r="Y16" s="147">
        <f t="shared" si="7"/>
        <v>-197880.4189077187</v>
      </c>
      <c r="Z16" s="147">
        <f t="shared" si="7"/>
        <v>-202611.87415843163</v>
      </c>
      <c r="AA16" s="147">
        <f t="shared" si="7"/>
        <v>-207457.30468597283</v>
      </c>
      <c r="AB16" s="147">
        <f t="shared" si="7"/>
        <v>-212419.47365017413</v>
      </c>
      <c r="AC16" s="147">
        <f t="shared" si="7"/>
        <v>-217501.21156542154</v>
      </c>
      <c r="AD16" s="147">
        <f t="shared" si="7"/>
        <v>-222705.41795002995</v>
      </c>
      <c r="AE16" s="164">
        <f t="shared" si="7"/>
        <v>-228035.0630161631</v>
      </c>
      <c r="AF16" s="118"/>
    </row>
    <row r="17" spans="1:32">
      <c r="A17" s="135" t="s">
        <v>82</v>
      </c>
      <c r="B17" s="323"/>
      <c r="C17" s="323"/>
      <c r="D17" s="323"/>
      <c r="E17" s="165">
        <v>0.7</v>
      </c>
      <c r="F17" s="323"/>
      <c r="G17" s="124"/>
      <c r="H17" s="325"/>
      <c r="I17" s="325"/>
      <c r="J17" s="325"/>
      <c r="K17" s="325"/>
      <c r="L17" s="128"/>
      <c r="M17" s="323"/>
      <c r="N17" s="129"/>
      <c r="O17" s="344"/>
      <c r="P17" s="344"/>
      <c r="Q17" s="344"/>
      <c r="R17" s="344"/>
      <c r="S17" s="130"/>
      <c r="T17" s="353"/>
      <c r="U17" s="166" t="s">
        <v>83</v>
      </c>
      <c r="V17" s="141">
        <f>SUM(V13:V16)</f>
        <v>-5067566.5</v>
      </c>
      <c r="W17" s="141">
        <f t="shared" ref="W17:AE17" si="8">SUM(W13:W16)</f>
        <v>-5169636.4237500001</v>
      </c>
      <c r="X17" s="141">
        <f t="shared" si="8"/>
        <v>-5273765.7108187499</v>
      </c>
      <c r="Y17" s="141">
        <f t="shared" si="8"/>
        <v>-5379995.9975937195</v>
      </c>
      <c r="Z17" s="141">
        <f t="shared" si="8"/>
        <v>-5488369.7644181522</v>
      </c>
      <c r="AA17" s="141">
        <f t="shared" si="8"/>
        <v>-5598930.3527508881</v>
      </c>
      <c r="AB17" s="141">
        <f t="shared" si="8"/>
        <v>-5711721.9826763887</v>
      </c>
      <c r="AC17" s="141">
        <f t="shared" si="8"/>
        <v>-5826789.770772161</v>
      </c>
      <c r="AD17" s="141">
        <f t="shared" si="8"/>
        <v>-5944179.7483409029</v>
      </c>
      <c r="AE17" s="142">
        <f t="shared" si="8"/>
        <v>-6063938.8800148536</v>
      </c>
      <c r="AF17" s="118"/>
    </row>
    <row r="18" spans="1:32">
      <c r="A18" s="148" t="s">
        <v>84</v>
      </c>
      <c r="B18" s="149"/>
      <c r="C18" s="149"/>
      <c r="D18" s="149"/>
      <c r="E18" s="167">
        <v>12</v>
      </c>
      <c r="F18" s="323"/>
      <c r="G18" s="124"/>
      <c r="H18" s="168" t="s">
        <v>30</v>
      </c>
      <c r="I18" s="169"/>
      <c r="J18" s="169" t="s">
        <v>85</v>
      </c>
      <c r="K18" s="170" t="s">
        <v>86</v>
      </c>
      <c r="L18" s="128"/>
      <c r="M18" s="323"/>
      <c r="N18" s="129"/>
      <c r="O18" s="168" t="s">
        <v>30</v>
      </c>
      <c r="P18" s="169"/>
      <c r="Q18" s="169" t="s">
        <v>85</v>
      </c>
      <c r="R18" s="170" t="s">
        <v>86</v>
      </c>
      <c r="S18" s="130"/>
      <c r="T18" s="353"/>
      <c r="U18" s="143"/>
      <c r="V18" s="141"/>
      <c r="W18" s="354"/>
      <c r="X18" s="354"/>
      <c r="Y18" s="354"/>
      <c r="Z18" s="354"/>
      <c r="AA18" s="354"/>
      <c r="AB18" s="354"/>
      <c r="AC18" s="354"/>
      <c r="AD18" s="354"/>
      <c r="AE18" s="171"/>
      <c r="AF18" s="118"/>
    </row>
    <row r="19" spans="1:32" ht="12.75" customHeight="1">
      <c r="A19" s="350" t="s">
        <v>87</v>
      </c>
      <c r="B19" s="158"/>
      <c r="C19" s="158"/>
      <c r="D19" s="158"/>
      <c r="E19" s="159"/>
      <c r="F19" s="323"/>
      <c r="G19" s="124"/>
      <c r="H19" s="143" t="s">
        <v>88</v>
      </c>
      <c r="I19" s="452" t="str">
        <f>IF(Summary!$S$49="On","Turn off data table in 'Summary' tab to adjust individually","")</f>
        <v>Turn off data table in 'Summary' tab to adjust individually</v>
      </c>
      <c r="J19" s="326">
        <v>161.6</v>
      </c>
      <c r="K19" s="172">
        <f>J19*J16</f>
        <v>12120000</v>
      </c>
      <c r="L19" s="128"/>
      <c r="M19" s="323"/>
      <c r="N19" s="129"/>
      <c r="O19" s="143" t="s">
        <v>88</v>
      </c>
      <c r="P19" s="452" t="str">
        <f>IF(Summary!$S$49="On","Turn off data table in 'Summary' tab to adjust individually","")</f>
        <v>Turn off data table in 'Summary' tab to adjust individually</v>
      </c>
      <c r="Q19" s="326">
        <v>0</v>
      </c>
      <c r="R19" s="172">
        <f>Q19*Q16</f>
        <v>0</v>
      </c>
      <c r="S19" s="130"/>
      <c r="T19" s="353"/>
      <c r="U19" s="173" t="s">
        <v>89</v>
      </c>
      <c r="V19" s="174">
        <f>SUM(V11,V17)</f>
        <v>2306163.5</v>
      </c>
      <c r="W19" s="174">
        <f t="shared" ref="W19:AE19" si="9">SUM(W11,W17)</f>
        <v>2380311.9262499996</v>
      </c>
      <c r="X19" s="174">
        <f t="shared" si="9"/>
        <v>2456643.9499312481</v>
      </c>
      <c r="Y19" s="174">
        <f t="shared" si="9"/>
        <v>2535220.7587150279</v>
      </c>
      <c r="Z19" s="174">
        <f t="shared" si="9"/>
        <v>2616105.2019191124</v>
      </c>
      <c r="AA19" s="174">
        <f t="shared" si="9"/>
        <v>2699361.8346880246</v>
      </c>
      <c r="AB19" s="174">
        <f t="shared" si="9"/>
        <v>2785056.9633305762</v>
      </c>
      <c r="AC19" s="174">
        <f t="shared" si="9"/>
        <v>2873258.6918446999</v>
      </c>
      <c r="AD19" s="174">
        <f t="shared" si="9"/>
        <v>2964036.9696602952</v>
      </c>
      <c r="AE19" s="175">
        <f t="shared" si="9"/>
        <v>3057463.6406316701</v>
      </c>
      <c r="AF19" s="118"/>
    </row>
    <row r="20" spans="1:32">
      <c r="A20" s="135" t="s">
        <v>90</v>
      </c>
      <c r="B20" s="323"/>
      <c r="C20" s="323"/>
      <c r="D20" s="323"/>
      <c r="E20" s="165">
        <v>0.06</v>
      </c>
      <c r="F20" s="323"/>
      <c r="G20" s="124"/>
      <c r="H20" s="143" t="s">
        <v>91</v>
      </c>
      <c r="I20" s="453"/>
      <c r="J20" s="326">
        <v>8.3000000000000007</v>
      </c>
      <c r="K20" s="172">
        <f>J20*J16</f>
        <v>622500</v>
      </c>
      <c r="L20" s="128"/>
      <c r="M20" s="323"/>
      <c r="N20" s="129"/>
      <c r="O20" s="143" t="s">
        <v>91</v>
      </c>
      <c r="P20" s="453"/>
      <c r="Q20" s="326">
        <v>0</v>
      </c>
      <c r="R20" s="172">
        <f>Q20*Q16</f>
        <v>0</v>
      </c>
      <c r="S20" s="130"/>
      <c r="T20" s="35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118"/>
    </row>
    <row r="21" spans="1:32" ht="12.75" customHeight="1">
      <c r="A21" s="135" t="s">
        <v>92</v>
      </c>
      <c r="B21" s="323"/>
      <c r="C21" s="323"/>
      <c r="D21" s="323"/>
      <c r="E21" s="165">
        <v>0.03</v>
      </c>
      <c r="F21" s="323"/>
      <c r="G21" s="124"/>
      <c r="H21" s="143" t="s">
        <v>93</v>
      </c>
      <c r="I21" s="453"/>
      <c r="J21" s="326">
        <v>13.8</v>
      </c>
      <c r="K21" s="172">
        <f>J21*J16</f>
        <v>1035000</v>
      </c>
      <c r="L21" s="128"/>
      <c r="M21" s="323"/>
      <c r="N21" s="129"/>
      <c r="O21" s="143" t="s">
        <v>93</v>
      </c>
      <c r="P21" s="453"/>
      <c r="Q21" s="326">
        <v>0</v>
      </c>
      <c r="R21" s="172">
        <f>Q21*Q16</f>
        <v>0</v>
      </c>
      <c r="S21" s="130"/>
      <c r="T21" s="35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118"/>
    </row>
    <row r="22" spans="1:32">
      <c r="A22" s="350" t="s">
        <v>94</v>
      </c>
      <c r="B22" s="158"/>
      <c r="C22" s="158"/>
      <c r="D22" s="158"/>
      <c r="E22" s="159"/>
      <c r="F22" s="323"/>
      <c r="G22" s="124"/>
      <c r="H22" s="143" t="s">
        <v>95</v>
      </c>
      <c r="I22" s="453"/>
      <c r="J22" s="326">
        <v>65</v>
      </c>
      <c r="K22" s="172">
        <f>J22*J16</f>
        <v>4875000</v>
      </c>
      <c r="L22" s="128"/>
      <c r="M22" s="323"/>
      <c r="N22" s="129"/>
      <c r="O22" s="143" t="s">
        <v>95</v>
      </c>
      <c r="P22" s="453"/>
      <c r="Q22" s="326">
        <v>0</v>
      </c>
      <c r="R22" s="172">
        <f>Q22*Q16</f>
        <v>0</v>
      </c>
      <c r="S22" s="130"/>
      <c r="T22" s="353"/>
      <c r="U22" s="323"/>
      <c r="V22" s="323"/>
      <c r="W22" s="323"/>
      <c r="X22" s="323"/>
      <c r="Y22" s="348"/>
      <c r="Z22" s="348"/>
      <c r="AA22" s="323"/>
      <c r="AB22" s="323"/>
      <c r="AC22" s="323"/>
      <c r="AD22" s="323"/>
      <c r="AE22" s="323"/>
      <c r="AF22" s="118"/>
    </row>
    <row r="23" spans="1:32">
      <c r="A23" s="351" t="s">
        <v>96</v>
      </c>
      <c r="B23" s="122"/>
      <c r="C23" s="122"/>
      <c r="D23" s="122"/>
      <c r="E23" s="176">
        <v>2.5000000000000001E-2</v>
      </c>
      <c r="F23" s="177"/>
      <c r="G23" s="124"/>
      <c r="H23" s="143" t="s">
        <v>64</v>
      </c>
      <c r="I23" s="453"/>
      <c r="J23" s="326">
        <v>270</v>
      </c>
      <c r="K23" s="172">
        <f>J23*J15</f>
        <v>4050000</v>
      </c>
      <c r="L23" s="128"/>
      <c r="M23" s="323"/>
      <c r="N23" s="129"/>
      <c r="O23" s="143" t="s">
        <v>64</v>
      </c>
      <c r="P23" s="453"/>
      <c r="Q23" s="326">
        <v>237.25</v>
      </c>
      <c r="R23" s="172">
        <f>Q23*Q15</f>
        <v>21352500</v>
      </c>
      <c r="S23" s="130"/>
      <c r="T23" s="323"/>
      <c r="U23" s="330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118"/>
    </row>
    <row r="24" spans="1:32">
      <c r="A24" s="135" t="s">
        <v>97</v>
      </c>
      <c r="B24" s="323"/>
      <c r="C24" s="323"/>
      <c r="D24" s="323"/>
      <c r="E24" s="165">
        <v>0.02</v>
      </c>
      <c r="F24" s="323"/>
      <c r="G24" s="178"/>
      <c r="H24" s="153" t="s">
        <v>98</v>
      </c>
      <c r="I24" s="454"/>
      <c r="J24" s="179">
        <f>K24/J14</f>
        <v>9.4444444444444446</v>
      </c>
      <c r="K24" s="180">
        <v>850000</v>
      </c>
      <c r="L24" s="181"/>
      <c r="M24" s="323"/>
      <c r="N24" s="182"/>
      <c r="O24" s="153" t="s">
        <v>98</v>
      </c>
      <c r="P24" s="454"/>
      <c r="Q24" s="179">
        <f>R24/Q14</f>
        <v>9.4444444444444446</v>
      </c>
      <c r="R24" s="180">
        <v>850000</v>
      </c>
      <c r="S24" s="18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118"/>
    </row>
    <row r="25" spans="1:32">
      <c r="A25" s="148" t="s">
        <v>99</v>
      </c>
      <c r="B25" s="149"/>
      <c r="C25" s="149"/>
      <c r="D25" s="149"/>
      <c r="E25" s="184">
        <v>0.02</v>
      </c>
      <c r="F25" s="323"/>
      <c r="G25" s="124"/>
      <c r="H25" s="166" t="s">
        <v>100</v>
      </c>
      <c r="I25" s="327"/>
      <c r="J25" s="328">
        <f>K25/J14</f>
        <v>261.69444444444446</v>
      </c>
      <c r="K25" s="185">
        <f>SUM(K19:K24)</f>
        <v>23552500</v>
      </c>
      <c r="L25" s="128"/>
      <c r="M25" s="323"/>
      <c r="N25" s="129"/>
      <c r="O25" s="166" t="s">
        <v>100</v>
      </c>
      <c r="P25" s="327"/>
      <c r="Q25" s="328">
        <f>R25/Q14</f>
        <v>246.69444444444446</v>
      </c>
      <c r="R25" s="185">
        <f>SUM(R19:R24)</f>
        <v>22202500</v>
      </c>
      <c r="S25" s="130"/>
      <c r="T25" s="330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118"/>
    </row>
    <row r="26" spans="1:32">
      <c r="A26" s="135"/>
      <c r="B26" s="323"/>
      <c r="C26" s="323"/>
      <c r="D26" s="323"/>
      <c r="E26" s="323"/>
      <c r="F26" s="323"/>
      <c r="G26" s="124"/>
      <c r="H26" s="137" t="s">
        <v>101</v>
      </c>
      <c r="I26" s="186">
        <v>0.05</v>
      </c>
      <c r="J26" s="187">
        <f>K26/$J$14</f>
        <v>5.4305555555555554</v>
      </c>
      <c r="K26" s="188">
        <f>I26*SUM($K$22:$K$24)</f>
        <v>488750</v>
      </c>
      <c r="L26" s="128"/>
      <c r="M26" s="323"/>
      <c r="N26" s="129"/>
      <c r="O26" s="137" t="s">
        <v>101</v>
      </c>
      <c r="P26" s="186">
        <v>0.05</v>
      </c>
      <c r="Q26" s="187">
        <f>R26/$J$14</f>
        <v>12.334722222222222</v>
      </c>
      <c r="R26" s="188">
        <f>P26*SUM($R$22:$R$24)</f>
        <v>1110125</v>
      </c>
      <c r="S26" s="130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118"/>
    </row>
    <row r="27" spans="1:32">
      <c r="A27" s="355" t="s">
        <v>102</v>
      </c>
      <c r="B27" s="189"/>
      <c r="C27" s="189"/>
      <c r="D27" s="189"/>
      <c r="E27" s="190"/>
      <c r="F27" s="323"/>
      <c r="G27" s="124"/>
      <c r="H27" s="143" t="s">
        <v>103</v>
      </c>
      <c r="I27" s="329">
        <v>0.03</v>
      </c>
      <c r="J27" s="330">
        <f>K27/$J$14</f>
        <v>3.2583333333333333</v>
      </c>
      <c r="K27" s="191">
        <f>I27*SUM($K$22:$K$24)</f>
        <v>293250</v>
      </c>
      <c r="L27" s="128"/>
      <c r="M27" s="323"/>
      <c r="N27" s="129"/>
      <c r="O27" s="143" t="s">
        <v>103</v>
      </c>
      <c r="P27" s="329">
        <v>0.03</v>
      </c>
      <c r="Q27" s="330">
        <f>R27/$J$14</f>
        <v>7.4008333333333329</v>
      </c>
      <c r="R27" s="191">
        <f>P27*SUM($R$22:$R$24)</f>
        <v>666075</v>
      </c>
      <c r="S27" s="130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118"/>
    </row>
    <row r="28" spans="1:32">
      <c r="A28" s="356" t="s">
        <v>12</v>
      </c>
      <c r="B28" s="192"/>
      <c r="C28" s="192"/>
      <c r="D28" s="192"/>
      <c r="E28" s="193"/>
      <c r="F28" s="323"/>
      <c r="G28" s="124"/>
      <c r="H28" s="143" t="s">
        <v>104</v>
      </c>
      <c r="I28" s="331">
        <v>0.01</v>
      </c>
      <c r="J28" s="330">
        <f>K28/$J$14</f>
        <v>2.6169444444444445</v>
      </c>
      <c r="K28" s="191">
        <f>I28*K25</f>
        <v>235525</v>
      </c>
      <c r="L28" s="128"/>
      <c r="M28" s="323"/>
      <c r="N28" s="129"/>
      <c r="O28" s="143" t="s">
        <v>104</v>
      </c>
      <c r="P28" s="331">
        <v>0.01</v>
      </c>
      <c r="Q28" s="330">
        <f>R28/$J$14</f>
        <v>2.4669444444444446</v>
      </c>
      <c r="R28" s="191">
        <f>P28*R25</f>
        <v>222025</v>
      </c>
      <c r="S28" s="130"/>
      <c r="T28" s="330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118"/>
    </row>
    <row r="29" spans="1:32">
      <c r="A29" s="357" t="s">
        <v>105</v>
      </c>
      <c r="B29" s="194"/>
      <c r="C29" s="195"/>
      <c r="D29" s="196"/>
      <c r="E29" s="197">
        <v>150</v>
      </c>
      <c r="F29" s="323"/>
      <c r="G29" s="124"/>
      <c r="H29" s="153" t="s">
        <v>106</v>
      </c>
      <c r="I29" s="198">
        <v>0.03</v>
      </c>
      <c r="J29" s="199">
        <f>K29/$J$14</f>
        <v>3.2583333333333333</v>
      </c>
      <c r="K29" s="200">
        <f>I29*SUM($K$22:$K$24)</f>
        <v>293250</v>
      </c>
      <c r="L29" s="128"/>
      <c r="M29" s="323"/>
      <c r="N29" s="129"/>
      <c r="O29" s="153" t="s">
        <v>106</v>
      </c>
      <c r="P29" s="198">
        <v>0.03</v>
      </c>
      <c r="Q29" s="199">
        <f>R29/$J$14</f>
        <v>7.4008333333333329</v>
      </c>
      <c r="R29" s="200">
        <f>P29*SUM($R$22:$R$24)</f>
        <v>666075</v>
      </c>
      <c r="S29" s="130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118"/>
    </row>
    <row r="30" spans="1:32">
      <c r="A30" s="358" t="s">
        <v>107</v>
      </c>
      <c r="B30" s="359"/>
      <c r="C30" s="326"/>
      <c r="D30" s="360"/>
      <c r="E30" s="201">
        <f>E29*E16</f>
        <v>54750</v>
      </c>
      <c r="F30" s="323"/>
      <c r="G30" s="124"/>
      <c r="H30" s="160" t="s">
        <v>108</v>
      </c>
      <c r="I30" s="202"/>
      <c r="J30" s="434">
        <f>IF(Summary!$S$49="On",Summary!$S$50,K30/J14)</f>
        <v>280</v>
      </c>
      <c r="K30" s="204">
        <f>IF(Summary!S49="On",J30*J14,SUM(K25:K29))</f>
        <v>25200000</v>
      </c>
      <c r="L30" s="128"/>
      <c r="M30" s="323"/>
      <c r="N30" s="129"/>
      <c r="O30" s="160" t="s">
        <v>108</v>
      </c>
      <c r="P30" s="202"/>
      <c r="Q30" s="434">
        <f>IF(Summary!$S$49="On",Summary!$S$51,R30/Q14)</f>
        <v>280</v>
      </c>
      <c r="R30" s="204">
        <f>IF(Summary!S49="On",Q30*Q14,SUM(R25:R29))</f>
        <v>25200000</v>
      </c>
      <c r="S30" s="130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118"/>
    </row>
    <row r="31" spans="1:32">
      <c r="A31" s="361" t="s">
        <v>109</v>
      </c>
      <c r="B31" s="205"/>
      <c r="C31" s="206"/>
      <c r="D31" s="207"/>
      <c r="E31" s="208">
        <f>E30*E17</f>
        <v>38325</v>
      </c>
      <c r="F31" s="323"/>
      <c r="G31" s="124"/>
      <c r="H31" s="325"/>
      <c r="I31" s="325"/>
      <c r="J31" s="325"/>
      <c r="K31" s="325"/>
      <c r="L31" s="128"/>
      <c r="M31" s="323"/>
      <c r="N31" s="129"/>
      <c r="O31" s="344"/>
      <c r="P31" s="344"/>
      <c r="Q31" s="344"/>
      <c r="R31" s="344"/>
      <c r="S31" s="130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118"/>
    </row>
    <row r="32" spans="1:32">
      <c r="A32" s="362" t="s">
        <v>110</v>
      </c>
      <c r="B32" s="209"/>
      <c r="C32" s="210"/>
      <c r="D32" s="211"/>
      <c r="E32" s="212">
        <f>E31*E15</f>
        <v>5748750</v>
      </c>
      <c r="F32" s="323"/>
      <c r="G32" s="124"/>
      <c r="H32" s="168" t="s">
        <v>111</v>
      </c>
      <c r="I32" s="109"/>
      <c r="J32" s="109"/>
      <c r="K32" s="110"/>
      <c r="L32" s="128"/>
      <c r="M32" s="323"/>
      <c r="N32" s="129"/>
      <c r="O32" s="168" t="s">
        <v>111</v>
      </c>
      <c r="P32" s="109"/>
      <c r="Q32" s="109"/>
      <c r="R32" s="110"/>
      <c r="S32" s="130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118"/>
    </row>
    <row r="33" spans="1:32">
      <c r="A33" s="356" t="s">
        <v>112</v>
      </c>
      <c r="B33" s="192"/>
      <c r="C33" s="192"/>
      <c r="D33" s="192"/>
      <c r="E33" s="193"/>
      <c r="F33" s="323"/>
      <c r="G33" s="124"/>
      <c r="H33" s="143" t="s">
        <v>113</v>
      </c>
      <c r="I33" s="431">
        <v>0.25</v>
      </c>
      <c r="J33" s="432">
        <f>IF(Summary!S49="On",50%,Inputs!K33/Inputs!K35)</f>
        <v>0.5</v>
      </c>
      <c r="K33" s="191">
        <f>IF(Summary!$S$49="On",K30*J33,SUM(K19:K21))</f>
        <v>12600000</v>
      </c>
      <c r="L33" s="128"/>
      <c r="M33" s="323"/>
      <c r="N33" s="129"/>
      <c r="O33" s="143" t="s">
        <v>113</v>
      </c>
      <c r="P33" s="431">
        <v>0.25</v>
      </c>
      <c r="Q33" s="432">
        <f>IF(Summary!S49="On",0%,Inputs!R33/Inputs!R35)</f>
        <v>0</v>
      </c>
      <c r="R33" s="191">
        <f>SUM(R19:R21)</f>
        <v>0</v>
      </c>
      <c r="S33" s="130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118"/>
    </row>
    <row r="34" spans="1:32">
      <c r="A34" s="351" t="s">
        <v>114</v>
      </c>
      <c r="B34" s="213"/>
      <c r="C34" s="214">
        <v>32.4</v>
      </c>
      <c r="D34" s="122" t="s">
        <v>115</v>
      </c>
      <c r="E34" s="215">
        <f>C34*E31</f>
        <v>1241730</v>
      </c>
      <c r="F34" s="323"/>
      <c r="G34" s="124"/>
      <c r="H34" s="143" t="s">
        <v>116</v>
      </c>
      <c r="I34" s="323"/>
      <c r="J34" s="433">
        <f>IF(Summary!S49="On",1-J33,Inputs!K34/Inputs!K35)</f>
        <v>0.5</v>
      </c>
      <c r="K34" s="191">
        <f>IF(Summary!$S$49="On",K30*J34,SUM(Inputs!K22:K24,Inputs!K26:K29))</f>
        <v>12600000</v>
      </c>
      <c r="L34" s="128"/>
      <c r="M34" s="323"/>
      <c r="N34" s="129"/>
      <c r="O34" s="143" t="s">
        <v>116</v>
      </c>
      <c r="P34" s="323"/>
      <c r="Q34" s="433">
        <f>IF(Summary!S49="On",1-Q33,Inputs!R34/Inputs!R35)</f>
        <v>1</v>
      </c>
      <c r="R34" s="191">
        <f>IF(Summary!$S$49="On",R30,SUM(Inputs!R22:R24,Inputs!R26:R29))</f>
        <v>25200000</v>
      </c>
      <c r="S34" s="130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118"/>
    </row>
    <row r="35" spans="1:32">
      <c r="A35" s="363" t="s">
        <v>117</v>
      </c>
      <c r="B35" s="209"/>
      <c r="C35" s="216">
        <v>10</v>
      </c>
      <c r="D35" s="149" t="s">
        <v>115</v>
      </c>
      <c r="E35" s="217">
        <f>C35*E31</f>
        <v>383250</v>
      </c>
      <c r="F35" s="323"/>
      <c r="G35" s="124"/>
      <c r="H35" s="173" t="s">
        <v>86</v>
      </c>
      <c r="I35" s="218"/>
      <c r="J35" s="219"/>
      <c r="K35" s="220">
        <f>SUM(K33:K34)</f>
        <v>25200000</v>
      </c>
      <c r="L35" s="128"/>
      <c r="M35" s="323"/>
      <c r="N35" s="129"/>
      <c r="O35" s="173" t="s">
        <v>86</v>
      </c>
      <c r="P35" s="218"/>
      <c r="Q35" s="219"/>
      <c r="R35" s="220">
        <f>SUM(R33:R34)</f>
        <v>25200000</v>
      </c>
      <c r="S35" s="130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118"/>
    </row>
    <row r="36" spans="1:32">
      <c r="A36" s="362" t="s">
        <v>118</v>
      </c>
      <c r="B36" s="209"/>
      <c r="C36" s="210"/>
      <c r="D36" s="211"/>
      <c r="E36" s="212">
        <f>SUM(E32,E34,E35)</f>
        <v>7373730</v>
      </c>
      <c r="F36" s="323"/>
      <c r="G36" s="124"/>
      <c r="H36" s="325"/>
      <c r="I36" s="325"/>
      <c r="J36" s="325"/>
      <c r="K36" s="325"/>
      <c r="L36" s="128"/>
      <c r="M36" s="323"/>
      <c r="N36" s="129"/>
      <c r="O36" s="344"/>
      <c r="P36" s="344"/>
      <c r="Q36" s="344"/>
      <c r="R36" s="344"/>
      <c r="S36" s="130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118"/>
    </row>
    <row r="37" spans="1:32">
      <c r="A37" s="135"/>
      <c r="B37" s="323"/>
      <c r="C37" s="323"/>
      <c r="D37" s="323"/>
      <c r="E37" s="323"/>
      <c r="F37" s="323"/>
      <c r="G37" s="124"/>
      <c r="H37" s="168" t="s">
        <v>31</v>
      </c>
      <c r="I37" s="169"/>
      <c r="J37" s="169"/>
      <c r="K37" s="170" t="s">
        <v>86</v>
      </c>
      <c r="L37" s="128"/>
      <c r="M37" s="323"/>
      <c r="N37" s="129"/>
      <c r="O37" s="168" t="s">
        <v>31</v>
      </c>
      <c r="P37" s="169"/>
      <c r="Q37" s="169"/>
      <c r="R37" s="170" t="s">
        <v>86</v>
      </c>
      <c r="S37" s="130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118"/>
    </row>
    <row r="38" spans="1:32">
      <c r="A38" s="349" t="s">
        <v>119</v>
      </c>
      <c r="B38" s="156"/>
      <c r="C38" s="156"/>
      <c r="D38" s="156"/>
      <c r="E38" s="157"/>
      <c r="F38" s="323"/>
      <c r="G38" s="124"/>
      <c r="H38" s="143" t="s">
        <v>120</v>
      </c>
      <c r="I38" s="332">
        <v>8</v>
      </c>
      <c r="J38" s="323" t="s">
        <v>85</v>
      </c>
      <c r="K38" s="191">
        <f>I38*J14</f>
        <v>720000</v>
      </c>
      <c r="L38" s="128"/>
      <c r="M38" s="323"/>
      <c r="N38" s="129"/>
      <c r="O38" s="143" t="s">
        <v>120</v>
      </c>
      <c r="P38" s="332">
        <v>8</v>
      </c>
      <c r="Q38" s="323" t="s">
        <v>85</v>
      </c>
      <c r="R38" s="191">
        <f>P38*Q14</f>
        <v>720000</v>
      </c>
      <c r="S38" s="130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118"/>
    </row>
    <row r="39" spans="1:32">
      <c r="A39" s="350" t="s">
        <v>73</v>
      </c>
      <c r="B39" s="158"/>
      <c r="C39" s="158"/>
      <c r="D39" s="158"/>
      <c r="E39" s="159"/>
      <c r="F39" s="323"/>
      <c r="G39" s="124"/>
      <c r="H39" s="143" t="s">
        <v>121</v>
      </c>
      <c r="I39" s="332">
        <v>2</v>
      </c>
      <c r="J39" s="323" t="s">
        <v>85</v>
      </c>
      <c r="K39" s="191">
        <f>I39*J14</f>
        <v>180000</v>
      </c>
      <c r="L39" s="128"/>
      <c r="M39" s="323"/>
      <c r="N39" s="129"/>
      <c r="O39" s="143" t="s">
        <v>121</v>
      </c>
      <c r="P39" s="332">
        <v>2</v>
      </c>
      <c r="Q39" s="323" t="s">
        <v>85</v>
      </c>
      <c r="R39" s="191">
        <f>P39*Q14</f>
        <v>180000</v>
      </c>
      <c r="S39" s="130"/>
      <c r="T39" s="364"/>
      <c r="U39" s="323"/>
      <c r="V39" s="323"/>
      <c r="W39" s="323"/>
      <c r="X39" s="365"/>
      <c r="Y39" s="323"/>
      <c r="Z39" s="323"/>
      <c r="AA39" s="323"/>
      <c r="AB39" s="323"/>
      <c r="AC39" s="323"/>
      <c r="AD39" s="323"/>
      <c r="AE39" s="323"/>
      <c r="AF39" s="118"/>
    </row>
    <row r="40" spans="1:32">
      <c r="A40" s="351" t="s">
        <v>122</v>
      </c>
      <c r="B40" s="122"/>
      <c r="C40" s="221">
        <v>1.4E-2</v>
      </c>
      <c r="D40" s="323" t="s">
        <v>123</v>
      </c>
      <c r="E40" s="222">
        <f>C40*(K30+K74)</f>
        <v>422800</v>
      </c>
      <c r="F40" s="323"/>
      <c r="G40" s="124"/>
      <c r="H40" s="143" t="s">
        <v>124</v>
      </c>
      <c r="I40" s="324"/>
      <c r="J40" s="323"/>
      <c r="K40" s="172">
        <f>K74*C40*ROUNDUP(K93/12,0)</f>
        <v>140000</v>
      </c>
      <c r="L40" s="128"/>
      <c r="M40" s="323"/>
      <c r="N40" s="129"/>
      <c r="O40" s="143" t="s">
        <v>124</v>
      </c>
      <c r="P40" s="324"/>
      <c r="Q40" s="323"/>
      <c r="R40" s="172">
        <f>K74*C40*ROUNDUP(R93/12,0)</f>
        <v>140000</v>
      </c>
      <c r="S40" s="130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118"/>
    </row>
    <row r="41" spans="1:32">
      <c r="A41" s="135" t="s">
        <v>125</v>
      </c>
      <c r="B41" s="323"/>
      <c r="C41" s="334">
        <v>300</v>
      </c>
      <c r="D41" s="323" t="s">
        <v>126</v>
      </c>
      <c r="E41" s="172">
        <f>C41*E29</f>
        <v>45000</v>
      </c>
      <c r="F41" s="323"/>
      <c r="G41" s="124"/>
      <c r="H41" s="143" t="s">
        <v>127</v>
      </c>
      <c r="I41" s="333">
        <v>0.03</v>
      </c>
      <c r="J41" s="323" t="s">
        <v>128</v>
      </c>
      <c r="K41" s="172">
        <f>I41*K74</f>
        <v>150000</v>
      </c>
      <c r="L41" s="128"/>
      <c r="M41" s="323"/>
      <c r="N41" s="129"/>
      <c r="O41" s="143" t="s">
        <v>127</v>
      </c>
      <c r="P41" s="333">
        <v>0.03</v>
      </c>
      <c r="Q41" s="323" t="s">
        <v>128</v>
      </c>
      <c r="R41" s="172">
        <f>P41*K74</f>
        <v>150000</v>
      </c>
      <c r="S41" s="130"/>
      <c r="T41" s="323"/>
      <c r="U41" s="323"/>
      <c r="V41" s="323"/>
      <c r="W41" s="323"/>
      <c r="X41" s="365"/>
      <c r="Y41" s="323"/>
      <c r="Z41" s="323"/>
      <c r="AA41" s="323"/>
      <c r="AB41" s="323"/>
      <c r="AC41" s="323"/>
      <c r="AD41" s="323"/>
      <c r="AE41" s="323"/>
      <c r="AF41" s="118"/>
    </row>
    <row r="42" spans="1:32">
      <c r="A42" s="350" t="s">
        <v>75</v>
      </c>
      <c r="B42" s="158"/>
      <c r="C42" s="158"/>
      <c r="D42" s="158"/>
      <c r="E42" s="159"/>
      <c r="F42" s="323"/>
      <c r="G42" s="124"/>
      <c r="H42" s="143" t="s">
        <v>129</v>
      </c>
      <c r="I42" s="323"/>
      <c r="J42" s="334"/>
      <c r="K42" s="223">
        <v>150000</v>
      </c>
      <c r="L42" s="128"/>
      <c r="M42" s="323"/>
      <c r="N42" s="129"/>
      <c r="O42" s="143" t="s">
        <v>129</v>
      </c>
      <c r="P42" s="323"/>
      <c r="Q42" s="334"/>
      <c r="R42" s="223">
        <v>150000</v>
      </c>
      <c r="S42" s="130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118"/>
    </row>
    <row r="43" spans="1:32">
      <c r="A43" s="135" t="s">
        <v>12</v>
      </c>
      <c r="B43" s="323"/>
      <c r="C43" s="224">
        <v>0.25</v>
      </c>
      <c r="D43" s="337" t="s">
        <v>130</v>
      </c>
      <c r="E43" s="172">
        <f>C43*E32</f>
        <v>1437187.5</v>
      </c>
      <c r="F43" s="323"/>
      <c r="G43" s="124"/>
      <c r="H43" s="143" t="s">
        <v>131</v>
      </c>
      <c r="I43" s="323"/>
      <c r="J43" s="323"/>
      <c r="K43" s="223">
        <v>150000</v>
      </c>
      <c r="L43" s="128"/>
      <c r="M43" s="323"/>
      <c r="N43" s="129"/>
      <c r="O43" s="143" t="s">
        <v>131</v>
      </c>
      <c r="P43" s="323"/>
      <c r="Q43" s="323"/>
      <c r="R43" s="223">
        <v>150000</v>
      </c>
      <c r="S43" s="130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118"/>
    </row>
    <row r="44" spans="1:32">
      <c r="A44" s="135" t="s">
        <v>114</v>
      </c>
      <c r="B44" s="323"/>
      <c r="C44" s="224">
        <v>0.75</v>
      </c>
      <c r="D44" s="337" t="s">
        <v>130</v>
      </c>
      <c r="E44" s="172">
        <f>C44*E34</f>
        <v>931297.5</v>
      </c>
      <c r="F44" s="323"/>
      <c r="G44" s="124"/>
      <c r="H44" s="143" t="s">
        <v>132</v>
      </c>
      <c r="I44" s="331">
        <v>0.03</v>
      </c>
      <c r="J44" s="323" t="s">
        <v>133</v>
      </c>
      <c r="K44" s="191">
        <f>I44*K$30</f>
        <v>756000</v>
      </c>
      <c r="L44" s="128"/>
      <c r="M44" s="323"/>
      <c r="N44" s="129"/>
      <c r="O44" s="143" t="s">
        <v>132</v>
      </c>
      <c r="P44" s="331">
        <v>0.03</v>
      </c>
      <c r="Q44" s="323" t="s">
        <v>133</v>
      </c>
      <c r="R44" s="191">
        <f>P44*R$30</f>
        <v>756000</v>
      </c>
      <c r="S44" s="130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118"/>
    </row>
    <row r="45" spans="1:32">
      <c r="A45" s="135" t="s">
        <v>117</v>
      </c>
      <c r="B45" s="323"/>
      <c r="C45" s="224">
        <v>0.05</v>
      </c>
      <c r="D45" s="337" t="s">
        <v>130</v>
      </c>
      <c r="E45" s="172">
        <f>C45*E35</f>
        <v>19162.5</v>
      </c>
      <c r="F45" s="323"/>
      <c r="G45" s="124"/>
      <c r="H45" s="153" t="s">
        <v>134</v>
      </c>
      <c r="I45" s="198">
        <v>0.03</v>
      </c>
      <c r="J45" s="149" t="s">
        <v>133</v>
      </c>
      <c r="K45" s="200">
        <f>I45*K$30</f>
        <v>756000</v>
      </c>
      <c r="L45" s="128"/>
      <c r="M45" s="323"/>
      <c r="N45" s="129"/>
      <c r="O45" s="153" t="s">
        <v>134</v>
      </c>
      <c r="P45" s="198">
        <v>0.03</v>
      </c>
      <c r="Q45" s="149" t="s">
        <v>133</v>
      </c>
      <c r="R45" s="200">
        <f>P45*R$30</f>
        <v>756000</v>
      </c>
      <c r="S45" s="130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118"/>
    </row>
    <row r="46" spans="1:32">
      <c r="A46" s="356" t="s">
        <v>78</v>
      </c>
      <c r="B46" s="192"/>
      <c r="C46" s="192"/>
      <c r="D46" s="192"/>
      <c r="E46" s="193"/>
      <c r="F46" s="323"/>
      <c r="G46" s="124"/>
      <c r="H46" s="160" t="s">
        <v>135</v>
      </c>
      <c r="I46" s="202"/>
      <c r="J46" s="203">
        <f>K46/J14</f>
        <v>33.355555555555554</v>
      </c>
      <c r="K46" s="204">
        <f>SUM(K38:K45)</f>
        <v>3002000</v>
      </c>
      <c r="L46" s="128"/>
      <c r="M46" s="323"/>
      <c r="N46" s="129"/>
      <c r="O46" s="160" t="s">
        <v>135</v>
      </c>
      <c r="P46" s="202"/>
      <c r="Q46" s="203">
        <f>R46/Q14</f>
        <v>33.355555555555554</v>
      </c>
      <c r="R46" s="204">
        <f>SUM(R38:R45)</f>
        <v>3002000</v>
      </c>
      <c r="S46" s="130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118"/>
    </row>
    <row r="47" spans="1:32">
      <c r="A47" s="351" t="s">
        <v>136</v>
      </c>
      <c r="B47" s="122"/>
      <c r="C47" s="225">
        <v>0.04</v>
      </c>
      <c r="D47" s="122" t="s">
        <v>137</v>
      </c>
      <c r="E47" s="222">
        <f t="shared" ref="E47:E54" si="10">C47*$E$36</f>
        <v>294949.2</v>
      </c>
      <c r="F47" s="323"/>
      <c r="G47" s="124"/>
      <c r="H47" s="325"/>
      <c r="I47" s="325"/>
      <c r="J47" s="325"/>
      <c r="K47" s="335"/>
      <c r="L47" s="128"/>
      <c r="M47" s="323"/>
      <c r="N47" s="129"/>
      <c r="O47" s="344"/>
      <c r="P47" s="344"/>
      <c r="Q47" s="344"/>
      <c r="R47" s="345"/>
      <c r="S47" s="130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118"/>
    </row>
    <row r="48" spans="1:32">
      <c r="A48" s="135" t="s">
        <v>138</v>
      </c>
      <c r="B48" s="323"/>
      <c r="C48" s="224">
        <v>2.5000000000000001E-2</v>
      </c>
      <c r="D48" s="323" t="s">
        <v>137</v>
      </c>
      <c r="E48" s="172">
        <f t="shared" si="10"/>
        <v>184343.25</v>
      </c>
      <c r="F48" s="323"/>
      <c r="G48" s="124"/>
      <c r="H48" s="168" t="s">
        <v>32</v>
      </c>
      <c r="I48" s="169"/>
      <c r="J48" s="169"/>
      <c r="K48" s="170" t="s">
        <v>86</v>
      </c>
      <c r="L48" s="128"/>
      <c r="M48" s="323"/>
      <c r="N48" s="129"/>
      <c r="O48" s="168" t="s">
        <v>32</v>
      </c>
      <c r="P48" s="169"/>
      <c r="Q48" s="169"/>
      <c r="R48" s="170" t="s">
        <v>86</v>
      </c>
      <c r="S48" s="130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118"/>
    </row>
    <row r="49" spans="1:32">
      <c r="A49" s="135" t="s">
        <v>139</v>
      </c>
      <c r="B49" s="323"/>
      <c r="C49" s="224">
        <v>0.04</v>
      </c>
      <c r="D49" s="323" t="s">
        <v>137</v>
      </c>
      <c r="E49" s="172">
        <f t="shared" si="10"/>
        <v>294949.2</v>
      </c>
      <c r="F49" s="323"/>
      <c r="G49" s="124"/>
      <c r="H49" s="143" t="s">
        <v>140</v>
      </c>
      <c r="I49" s="324"/>
      <c r="J49" s="323"/>
      <c r="K49" s="226">
        <f ca="1">IFERROR(-'Cash Flow - Modular'!B30,0)</f>
        <v>835274.30067054683</v>
      </c>
      <c r="L49" s="128"/>
      <c r="M49" s="323"/>
      <c r="N49" s="129"/>
      <c r="O49" s="143" t="s">
        <v>140</v>
      </c>
      <c r="P49" s="324"/>
      <c r="Q49" s="323"/>
      <c r="R49" s="226">
        <f ca="1">IFERROR(-'Cash Flow - Traditional'!B30,0)</f>
        <v>928038.85364393948</v>
      </c>
      <c r="S49" s="130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118"/>
    </row>
    <row r="50" spans="1:32">
      <c r="A50" s="135" t="s">
        <v>141</v>
      </c>
      <c r="B50" s="323"/>
      <c r="C50" s="224">
        <v>1.4999999999999999E-2</v>
      </c>
      <c r="D50" s="323" t="s">
        <v>137</v>
      </c>
      <c r="E50" s="172">
        <f t="shared" si="10"/>
        <v>110605.95</v>
      </c>
      <c r="F50" s="330"/>
      <c r="G50" s="124"/>
      <c r="H50" s="143" t="s">
        <v>142</v>
      </c>
      <c r="I50" s="324"/>
      <c r="J50" s="323"/>
      <c r="K50" s="226">
        <f ca="1">IFERROR(K60+K67,0)</f>
        <v>208485.7893001904</v>
      </c>
      <c r="L50" s="128"/>
      <c r="M50" s="323"/>
      <c r="N50" s="129"/>
      <c r="O50" s="143" t="s">
        <v>142</v>
      </c>
      <c r="P50" s="324"/>
      <c r="Q50" s="323"/>
      <c r="R50" s="226">
        <f ca="1">IFERROR(R60+R67,0)</f>
        <v>208996.05594680793</v>
      </c>
      <c r="S50" s="130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118"/>
    </row>
    <row r="51" spans="1:32">
      <c r="A51" s="135" t="s">
        <v>143</v>
      </c>
      <c r="B51" s="365"/>
      <c r="C51" s="224">
        <v>0.05</v>
      </c>
      <c r="D51" s="323" t="s">
        <v>137</v>
      </c>
      <c r="E51" s="172">
        <f t="shared" si="10"/>
        <v>368686.5</v>
      </c>
      <c r="F51" s="323"/>
      <c r="G51" s="227"/>
      <c r="H51" s="153" t="s">
        <v>144</v>
      </c>
      <c r="I51" s="154"/>
      <c r="J51" s="149"/>
      <c r="K51" s="228">
        <f ca="1">IFERROR(-'Cash Flow - Modular'!B31,0)</f>
        <v>501871.51584706298</v>
      </c>
      <c r="L51" s="229"/>
      <c r="M51" s="323"/>
      <c r="N51" s="230"/>
      <c r="O51" s="153" t="s">
        <v>144</v>
      </c>
      <c r="P51" s="154"/>
      <c r="Q51" s="149"/>
      <c r="R51" s="228">
        <f ca="1">IFERROR(-'Cash Flow - Traditional'!B31,0)</f>
        <v>493642.69986063597</v>
      </c>
      <c r="S51" s="231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118"/>
    </row>
    <row r="52" spans="1:32">
      <c r="A52" s="135" t="s">
        <v>145</v>
      </c>
      <c r="B52" s="323"/>
      <c r="C52" s="224">
        <v>0.03</v>
      </c>
      <c r="D52" s="323" t="s">
        <v>137</v>
      </c>
      <c r="E52" s="172">
        <f t="shared" si="10"/>
        <v>221211.9</v>
      </c>
      <c r="F52" s="323"/>
      <c r="G52" s="124"/>
      <c r="H52" s="160" t="s">
        <v>146</v>
      </c>
      <c r="I52" s="202"/>
      <c r="J52" s="203">
        <f ca="1">K52/J14</f>
        <v>17.173676293044156</v>
      </c>
      <c r="K52" s="204">
        <f ca="1">SUM(K49:K51)</f>
        <v>1545631.6058178002</v>
      </c>
      <c r="L52" s="128"/>
      <c r="M52" s="366"/>
      <c r="N52" s="129"/>
      <c r="O52" s="160" t="s">
        <v>146</v>
      </c>
      <c r="P52" s="202"/>
      <c r="Q52" s="203">
        <f ca="1">R52/Q14</f>
        <v>18.118646962378261</v>
      </c>
      <c r="R52" s="204">
        <f ca="1">SUM(R49:R51)</f>
        <v>1630677.6094513834</v>
      </c>
      <c r="S52" s="130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118"/>
    </row>
    <row r="53" spans="1:32">
      <c r="A53" s="135" t="s">
        <v>147</v>
      </c>
      <c r="B53" s="323"/>
      <c r="C53" s="224">
        <v>0.05</v>
      </c>
      <c r="D53" s="323" t="s">
        <v>137</v>
      </c>
      <c r="E53" s="172">
        <f t="shared" si="10"/>
        <v>368686.5</v>
      </c>
      <c r="F53" s="323"/>
      <c r="G53" s="124"/>
      <c r="H53" s="325"/>
      <c r="I53" s="325"/>
      <c r="J53" s="325"/>
      <c r="K53" s="325"/>
      <c r="L53" s="128"/>
      <c r="M53" s="323"/>
      <c r="N53" s="129"/>
      <c r="O53" s="344"/>
      <c r="P53" s="344"/>
      <c r="Q53" s="344"/>
      <c r="R53" s="344"/>
      <c r="S53" s="130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118"/>
    </row>
    <row r="54" spans="1:32">
      <c r="A54" s="148" t="s">
        <v>148</v>
      </c>
      <c r="B54" s="149"/>
      <c r="C54" s="232">
        <v>2.5000000000000001E-2</v>
      </c>
      <c r="D54" s="149" t="s">
        <v>137</v>
      </c>
      <c r="E54" s="233">
        <f t="shared" si="10"/>
        <v>184343.25</v>
      </c>
      <c r="F54" s="323"/>
      <c r="G54" s="124"/>
      <c r="H54" s="325"/>
      <c r="I54" s="325"/>
      <c r="J54" s="325"/>
      <c r="K54" s="325"/>
      <c r="L54" s="128"/>
      <c r="M54" s="323"/>
      <c r="N54" s="234"/>
      <c r="O54" s="344"/>
      <c r="P54" s="344"/>
      <c r="Q54" s="344"/>
      <c r="R54" s="344"/>
      <c r="S54" s="130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118"/>
    </row>
    <row r="55" spans="1:32">
      <c r="A55" s="350" t="s">
        <v>81</v>
      </c>
      <c r="B55" s="158"/>
      <c r="C55" s="158"/>
      <c r="D55" s="158"/>
      <c r="E55" s="159"/>
      <c r="F55" s="323"/>
      <c r="G55" s="124"/>
      <c r="H55" s="325"/>
      <c r="I55" s="325"/>
      <c r="J55" s="325"/>
      <c r="K55" s="325"/>
      <c r="L55" s="128"/>
      <c r="M55" s="323"/>
      <c r="N55" s="234"/>
      <c r="O55" s="344"/>
      <c r="P55" s="344"/>
      <c r="Q55" s="344"/>
      <c r="R55" s="344"/>
      <c r="S55" s="130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118"/>
    </row>
    <row r="56" spans="1:32">
      <c r="A56" s="148" t="s">
        <v>149</v>
      </c>
      <c r="B56" s="149"/>
      <c r="C56" s="232">
        <v>2.5000000000000001E-2</v>
      </c>
      <c r="D56" s="149" t="s">
        <v>137</v>
      </c>
      <c r="E56" s="233">
        <f>C56*$E$36</f>
        <v>184343.25</v>
      </c>
      <c r="F56" s="323"/>
      <c r="G56" s="124"/>
      <c r="H56" s="325"/>
      <c r="I56" s="325"/>
      <c r="J56" s="325"/>
      <c r="K56" s="325"/>
      <c r="L56" s="128"/>
      <c r="M56" s="323"/>
      <c r="N56" s="129"/>
      <c r="O56" s="346"/>
      <c r="P56" s="344"/>
      <c r="Q56" s="344"/>
      <c r="R56" s="344"/>
      <c r="S56" s="130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118"/>
    </row>
    <row r="57" spans="1:32">
      <c r="A57" s="135"/>
      <c r="B57" s="323"/>
      <c r="C57" s="323"/>
      <c r="D57" s="323"/>
      <c r="E57" s="329"/>
      <c r="F57" s="323"/>
      <c r="G57" s="124"/>
      <c r="H57" s="451"/>
      <c r="I57" s="451"/>
      <c r="J57" s="451"/>
      <c r="K57" s="451"/>
      <c r="L57" s="128"/>
      <c r="M57" s="323"/>
      <c r="N57" s="129"/>
      <c r="O57" s="344"/>
      <c r="P57" s="344"/>
      <c r="Q57" s="344"/>
      <c r="R57" s="344"/>
      <c r="S57" s="130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118"/>
    </row>
    <row r="58" spans="1:32">
      <c r="A58" s="135"/>
      <c r="B58" s="323"/>
      <c r="C58" s="323"/>
      <c r="D58" s="323"/>
      <c r="E58" s="323"/>
      <c r="F58" s="323"/>
      <c r="G58" s="124"/>
      <c r="H58" s="125" t="s">
        <v>150</v>
      </c>
      <c r="I58" s="235"/>
      <c r="J58" s="235"/>
      <c r="K58" s="236"/>
      <c r="L58" s="128"/>
      <c r="M58" s="323"/>
      <c r="N58" s="129"/>
      <c r="O58" s="125" t="s">
        <v>150</v>
      </c>
      <c r="P58" s="235"/>
      <c r="Q58" s="235"/>
      <c r="R58" s="236"/>
      <c r="S58" s="130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118"/>
    </row>
    <row r="59" spans="1:32">
      <c r="A59" s="135"/>
      <c r="B59" s="323"/>
      <c r="C59" s="323"/>
      <c r="D59" s="323"/>
      <c r="E59" s="323"/>
      <c r="F59" s="323"/>
      <c r="G59" s="124"/>
      <c r="H59" s="143" t="s">
        <v>151</v>
      </c>
      <c r="I59" s="323"/>
      <c r="J59" s="237">
        <v>0.6</v>
      </c>
      <c r="K59" s="172">
        <f ca="1">K78*J59</f>
        <v>20848578.519824382</v>
      </c>
      <c r="L59" s="238"/>
      <c r="M59" s="323"/>
      <c r="N59" s="129"/>
      <c r="O59" s="143" t="s">
        <v>151</v>
      </c>
      <c r="P59" s="323"/>
      <c r="Q59" s="237">
        <v>0.6</v>
      </c>
      <c r="R59" s="172">
        <f ca="1">R78*Q59</f>
        <v>20899606.935968425</v>
      </c>
      <c r="S59" s="130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118"/>
    </row>
    <row r="60" spans="1:32">
      <c r="A60" s="135"/>
      <c r="B60" s="323"/>
      <c r="C60" s="323"/>
      <c r="D60" s="323"/>
      <c r="E60" s="323"/>
      <c r="F60" s="323"/>
      <c r="G60" s="124"/>
      <c r="H60" s="143" t="s">
        <v>152</v>
      </c>
      <c r="I60" s="323"/>
      <c r="J60" s="224">
        <v>0.01</v>
      </c>
      <c r="K60" s="172">
        <f ca="1">J60*K59</f>
        <v>208485.78519824383</v>
      </c>
      <c r="L60" s="128"/>
      <c r="M60" s="323"/>
      <c r="N60" s="129"/>
      <c r="O60" s="143" t="s">
        <v>152</v>
      </c>
      <c r="P60" s="323"/>
      <c r="Q60" s="224">
        <v>0.01</v>
      </c>
      <c r="R60" s="172">
        <f ca="1">Q60*R59</f>
        <v>208996.06935968425</v>
      </c>
      <c r="S60" s="130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118"/>
    </row>
    <row r="61" spans="1:32">
      <c r="A61" s="135"/>
      <c r="B61" s="323"/>
      <c r="C61" s="323"/>
      <c r="D61" s="323"/>
      <c r="E61" s="323"/>
      <c r="F61" s="323"/>
      <c r="G61" s="124"/>
      <c r="H61" s="143" t="s">
        <v>153</v>
      </c>
      <c r="I61" s="323"/>
      <c r="J61" s="323"/>
      <c r="K61" s="239">
        <v>0.08</v>
      </c>
      <c r="L61" s="128"/>
      <c r="M61" s="323"/>
      <c r="N61" s="129"/>
      <c r="O61" s="143" t="s">
        <v>153</v>
      </c>
      <c r="P61" s="323"/>
      <c r="Q61" s="323"/>
      <c r="R61" s="239">
        <v>0.08</v>
      </c>
      <c r="S61" s="130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118"/>
    </row>
    <row r="62" spans="1:32">
      <c r="A62" s="135"/>
      <c r="B62" s="323"/>
      <c r="C62" s="323"/>
      <c r="D62" s="323"/>
      <c r="E62" s="323"/>
      <c r="F62" s="323"/>
      <c r="G62" s="124"/>
      <c r="H62" s="143" t="s">
        <v>154</v>
      </c>
      <c r="I62" s="323"/>
      <c r="J62" s="323"/>
      <c r="K62" s="240" t="s">
        <v>155</v>
      </c>
      <c r="L62" s="128"/>
      <c r="M62" s="323"/>
      <c r="N62" s="129"/>
      <c r="O62" s="143" t="s">
        <v>154</v>
      </c>
      <c r="P62" s="323"/>
      <c r="Q62" s="323"/>
      <c r="R62" s="240" t="s">
        <v>155</v>
      </c>
      <c r="S62" s="130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118"/>
    </row>
    <row r="63" spans="1:32">
      <c r="A63" s="135"/>
      <c r="B63" s="323"/>
      <c r="C63" s="323"/>
      <c r="D63" s="323"/>
      <c r="E63" s="323"/>
      <c r="F63" s="323"/>
      <c r="G63" s="124"/>
      <c r="H63" s="153" t="s">
        <v>156</v>
      </c>
      <c r="I63" s="149"/>
      <c r="J63" s="149"/>
      <c r="K63" s="241">
        <v>5</v>
      </c>
      <c r="L63" s="128"/>
      <c r="M63" s="323"/>
      <c r="N63" s="129"/>
      <c r="O63" s="153" t="s">
        <v>156</v>
      </c>
      <c r="P63" s="149"/>
      <c r="Q63" s="149"/>
      <c r="R63" s="241">
        <v>5</v>
      </c>
      <c r="S63" s="130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118"/>
    </row>
    <row r="64" spans="1:32">
      <c r="A64" s="135"/>
      <c r="B64" s="323"/>
      <c r="C64" s="323"/>
      <c r="D64" s="323"/>
      <c r="E64" s="323"/>
      <c r="F64" s="323"/>
      <c r="G64" s="124"/>
      <c r="H64" s="325"/>
      <c r="I64" s="325"/>
      <c r="J64" s="325"/>
      <c r="K64" s="325"/>
      <c r="L64" s="128"/>
      <c r="M64" s="323"/>
      <c r="N64" s="129"/>
      <c r="O64" s="344"/>
      <c r="P64" s="344"/>
      <c r="Q64" s="344"/>
      <c r="R64" s="344"/>
      <c r="S64" s="130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118"/>
    </row>
    <row r="65" spans="1:32">
      <c r="A65" s="135"/>
      <c r="B65" s="323"/>
      <c r="C65" s="323"/>
      <c r="D65" s="323"/>
      <c r="E65" s="323"/>
      <c r="F65" s="323"/>
      <c r="G65" s="124"/>
      <c r="H65" s="125" t="s">
        <v>157</v>
      </c>
      <c r="I65" s="235"/>
      <c r="J65" s="235"/>
      <c r="K65" s="236"/>
      <c r="L65" s="128"/>
      <c r="M65" s="323"/>
      <c r="N65" s="129"/>
      <c r="O65" s="125" t="s">
        <v>157</v>
      </c>
      <c r="P65" s="235"/>
      <c r="Q65" s="235"/>
      <c r="R65" s="236"/>
      <c r="S65" s="130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118"/>
    </row>
    <row r="66" spans="1:32">
      <c r="A66" s="135"/>
      <c r="B66" s="323"/>
      <c r="C66" s="323"/>
      <c r="D66" s="323"/>
      <c r="E66" s="323"/>
      <c r="F66" s="323"/>
      <c r="G66" s="124"/>
      <c r="H66" s="143" t="s">
        <v>151</v>
      </c>
      <c r="I66" s="323"/>
      <c r="J66" s="237">
        <v>0</v>
      </c>
      <c r="K66" s="172">
        <f ca="1">K78*J66</f>
        <v>0</v>
      </c>
      <c r="L66" s="128"/>
      <c r="M66" s="323"/>
      <c r="N66" s="129"/>
      <c r="O66" s="143" t="s">
        <v>151</v>
      </c>
      <c r="P66" s="323"/>
      <c r="Q66" s="237">
        <v>0</v>
      </c>
      <c r="R66" s="172">
        <f ca="1">R78*Q66</f>
        <v>0</v>
      </c>
      <c r="S66" s="130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118"/>
    </row>
    <row r="67" spans="1:32">
      <c r="A67" s="135"/>
      <c r="B67" s="323"/>
      <c r="C67" s="323"/>
      <c r="D67" s="323"/>
      <c r="E67" s="323"/>
      <c r="F67" s="323"/>
      <c r="G67" s="124"/>
      <c r="H67" s="143" t="s">
        <v>152</v>
      </c>
      <c r="I67" s="323"/>
      <c r="J67" s="224">
        <v>0.01</v>
      </c>
      <c r="K67" s="172">
        <f ca="1">J67*K66</f>
        <v>0</v>
      </c>
      <c r="L67" s="128"/>
      <c r="M67" s="323"/>
      <c r="N67" s="129"/>
      <c r="O67" s="143" t="s">
        <v>152</v>
      </c>
      <c r="P67" s="323"/>
      <c r="Q67" s="224">
        <v>0.01</v>
      </c>
      <c r="R67" s="172">
        <f ca="1">Q67*R66</f>
        <v>0</v>
      </c>
      <c r="S67" s="130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118"/>
    </row>
    <row r="68" spans="1:32">
      <c r="A68" s="135"/>
      <c r="B68" s="323"/>
      <c r="C68" s="323"/>
      <c r="D68" s="323"/>
      <c r="E68" s="323"/>
      <c r="F68" s="323"/>
      <c r="G68" s="124"/>
      <c r="H68" s="143" t="s">
        <v>153</v>
      </c>
      <c r="I68" s="323"/>
      <c r="J68" s="323"/>
      <c r="K68" s="239">
        <v>0.17</v>
      </c>
      <c r="L68" s="128"/>
      <c r="M68" s="323"/>
      <c r="N68" s="129"/>
      <c r="O68" s="143" t="s">
        <v>153</v>
      </c>
      <c r="P68" s="323"/>
      <c r="Q68" s="323"/>
      <c r="R68" s="239">
        <v>0.17</v>
      </c>
      <c r="S68" s="130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118"/>
    </row>
    <row r="69" spans="1:32">
      <c r="A69" s="135"/>
      <c r="B69" s="323"/>
      <c r="C69" s="323"/>
      <c r="D69" s="323"/>
      <c r="E69" s="323"/>
      <c r="F69" s="323"/>
      <c r="G69" s="124"/>
      <c r="H69" s="143" t="s">
        <v>154</v>
      </c>
      <c r="I69" s="323"/>
      <c r="J69" s="323"/>
      <c r="K69" s="240" t="s">
        <v>158</v>
      </c>
      <c r="L69" s="128"/>
      <c r="M69" s="323"/>
      <c r="N69" s="129"/>
      <c r="O69" s="143" t="s">
        <v>154</v>
      </c>
      <c r="P69" s="323"/>
      <c r="Q69" s="323"/>
      <c r="R69" s="240" t="s">
        <v>158</v>
      </c>
      <c r="S69" s="130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118"/>
    </row>
    <row r="70" spans="1:32">
      <c r="A70" s="135"/>
      <c r="B70" s="323"/>
      <c r="C70" s="323"/>
      <c r="D70" s="323"/>
      <c r="E70" s="323"/>
      <c r="F70" s="323"/>
      <c r="G70" s="124"/>
      <c r="H70" s="143" t="s">
        <v>156</v>
      </c>
      <c r="I70" s="323"/>
      <c r="J70" s="323"/>
      <c r="K70" s="242">
        <v>5</v>
      </c>
      <c r="L70" s="128"/>
      <c r="M70" s="323"/>
      <c r="N70" s="129"/>
      <c r="O70" s="143" t="s">
        <v>156</v>
      </c>
      <c r="P70" s="323"/>
      <c r="Q70" s="323"/>
      <c r="R70" s="242">
        <v>5</v>
      </c>
      <c r="S70" s="130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118"/>
    </row>
    <row r="71" spans="1:32">
      <c r="A71" s="135"/>
      <c r="B71" s="323"/>
      <c r="C71" s="323"/>
      <c r="D71" s="323"/>
      <c r="E71" s="323"/>
      <c r="F71" s="323"/>
      <c r="G71" s="124"/>
      <c r="H71" s="243"/>
      <c r="I71" s="243"/>
      <c r="J71" s="243"/>
      <c r="K71" s="244"/>
      <c r="L71" s="128"/>
      <c r="M71" s="323"/>
      <c r="N71" s="129"/>
      <c r="O71" s="245"/>
      <c r="P71" s="245"/>
      <c r="Q71" s="245"/>
      <c r="R71" s="246"/>
      <c r="S71" s="130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118"/>
    </row>
    <row r="72" spans="1:32">
      <c r="A72" s="135"/>
      <c r="B72" s="323"/>
      <c r="C72" s="323"/>
      <c r="D72" s="323"/>
      <c r="E72" s="323"/>
      <c r="F72" s="323"/>
      <c r="G72" s="124"/>
      <c r="H72" s="247" t="s">
        <v>159</v>
      </c>
      <c r="I72" s="336"/>
      <c r="J72" s="336"/>
      <c r="K72" s="248"/>
      <c r="L72" s="128"/>
      <c r="M72" s="323"/>
      <c r="N72" s="129"/>
      <c r="O72" s="247" t="s">
        <v>159</v>
      </c>
      <c r="P72" s="336"/>
      <c r="Q72" s="336"/>
      <c r="R72" s="248"/>
      <c r="S72" s="130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118"/>
    </row>
    <row r="73" spans="1:32">
      <c r="A73" s="135"/>
      <c r="B73" s="323"/>
      <c r="C73" s="323"/>
      <c r="D73" s="323"/>
      <c r="E73" s="323"/>
      <c r="F73" s="323"/>
      <c r="G73" s="124"/>
      <c r="H73" s="321" t="s">
        <v>28</v>
      </c>
      <c r="I73" s="305"/>
      <c r="J73" s="305" t="s">
        <v>160</v>
      </c>
      <c r="K73" s="322" t="s">
        <v>86</v>
      </c>
      <c r="L73" s="128"/>
      <c r="M73" s="323"/>
      <c r="N73" s="129"/>
      <c r="O73" s="321" t="s">
        <v>28</v>
      </c>
      <c r="P73" s="305"/>
      <c r="Q73" s="305" t="s">
        <v>160</v>
      </c>
      <c r="R73" s="322" t="s">
        <v>86</v>
      </c>
      <c r="S73" s="130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118"/>
    </row>
    <row r="74" spans="1:32">
      <c r="A74" s="135"/>
      <c r="B74" s="323"/>
      <c r="C74" s="323"/>
      <c r="D74" s="323"/>
      <c r="E74" s="323"/>
      <c r="F74" s="323"/>
      <c r="G74" s="124"/>
      <c r="H74" s="137" t="s">
        <v>161</v>
      </c>
      <c r="I74" s="249"/>
      <c r="J74" s="249">
        <f>K74/$J$14</f>
        <v>55.555555555555557</v>
      </c>
      <c r="K74" s="250">
        <v>5000000</v>
      </c>
      <c r="L74" s="128"/>
      <c r="M74" s="323"/>
      <c r="N74" s="129"/>
      <c r="O74" s="137" t="s">
        <v>161</v>
      </c>
      <c r="P74" s="249"/>
      <c r="Q74" s="249">
        <f>R74/$J$14</f>
        <v>55.555555555555557</v>
      </c>
      <c r="R74" s="250">
        <v>5000000</v>
      </c>
      <c r="S74" s="130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118"/>
    </row>
    <row r="75" spans="1:32">
      <c r="A75" s="135"/>
      <c r="B75" s="323"/>
      <c r="C75" s="323"/>
      <c r="D75" s="323"/>
      <c r="E75" s="323"/>
      <c r="F75" s="323"/>
      <c r="G75" s="124"/>
      <c r="H75" s="143" t="s">
        <v>30</v>
      </c>
      <c r="I75" s="337"/>
      <c r="J75" s="337">
        <f>K75/$J$14</f>
        <v>280</v>
      </c>
      <c r="K75" s="172">
        <f>K30</f>
        <v>25200000</v>
      </c>
      <c r="L75" s="128"/>
      <c r="M75" s="330"/>
      <c r="N75" s="230"/>
      <c r="O75" s="143" t="s">
        <v>30</v>
      </c>
      <c r="P75" s="337"/>
      <c r="Q75" s="337">
        <f>R75/$J$14</f>
        <v>280</v>
      </c>
      <c r="R75" s="172">
        <f>R30</f>
        <v>25200000</v>
      </c>
      <c r="S75" s="130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118"/>
    </row>
    <row r="76" spans="1:32">
      <c r="A76" s="135"/>
      <c r="B76" s="323"/>
      <c r="C76" s="323"/>
      <c r="D76" s="323"/>
      <c r="E76" s="323"/>
      <c r="F76" s="323"/>
      <c r="G76" s="124"/>
      <c r="H76" s="143" t="s">
        <v>31</v>
      </c>
      <c r="I76" s="337"/>
      <c r="J76" s="337">
        <f>K76/$J$14</f>
        <v>33.355555555555554</v>
      </c>
      <c r="K76" s="172">
        <f>K46</f>
        <v>3002000</v>
      </c>
      <c r="L76" s="128"/>
      <c r="M76" s="330"/>
      <c r="N76" s="230"/>
      <c r="O76" s="143" t="s">
        <v>31</v>
      </c>
      <c r="P76" s="337"/>
      <c r="Q76" s="337">
        <f>R76/$J$14</f>
        <v>33.355555555555554</v>
      </c>
      <c r="R76" s="172">
        <f>R46</f>
        <v>3002000</v>
      </c>
      <c r="S76" s="130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118"/>
    </row>
    <row r="77" spans="1:32">
      <c r="A77" s="135"/>
      <c r="B77" s="323"/>
      <c r="C77" s="323"/>
      <c r="D77" s="323"/>
      <c r="E77" s="323"/>
      <c r="F77" s="323"/>
      <c r="G77" s="124"/>
      <c r="H77" s="143" t="s">
        <v>32</v>
      </c>
      <c r="I77" s="337"/>
      <c r="J77" s="337">
        <f ca="1">K77/$J$14</f>
        <v>17.173676293044156</v>
      </c>
      <c r="K77" s="172">
        <f ca="1">SUM(K49:K51)</f>
        <v>1545631.6058178002</v>
      </c>
      <c r="L77" s="128"/>
      <c r="M77" s="323"/>
      <c r="N77" s="129"/>
      <c r="O77" s="143" t="s">
        <v>32</v>
      </c>
      <c r="P77" s="337"/>
      <c r="Q77" s="337">
        <f ca="1">R77/$J$14</f>
        <v>18.118646962378261</v>
      </c>
      <c r="R77" s="172">
        <f ca="1">SUM(R49:R51)</f>
        <v>1630677.6094513834</v>
      </c>
      <c r="S77" s="130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118"/>
    </row>
    <row r="78" spans="1:32">
      <c r="A78" s="135"/>
      <c r="B78" s="323"/>
      <c r="C78" s="323"/>
      <c r="D78" s="323"/>
      <c r="E78" s="323"/>
      <c r="F78" s="323"/>
      <c r="G78" s="124"/>
      <c r="H78" s="173" t="s">
        <v>162</v>
      </c>
      <c r="I78" s="251">
        <f ca="1">K78/$E$29</f>
        <v>231650.87244249313</v>
      </c>
      <c r="J78" s="251">
        <f ca="1">K78/J14</f>
        <v>386.08478740415524</v>
      </c>
      <c r="K78" s="252">
        <f ca="1">SUM(K74:K77)</f>
        <v>34747631.605817802</v>
      </c>
      <c r="L78" s="128"/>
      <c r="M78" s="323"/>
      <c r="N78" s="129"/>
      <c r="O78" s="173" t="s">
        <v>162</v>
      </c>
      <c r="P78" s="251">
        <f ca="1">R78/$E$29</f>
        <v>232217.85484409361</v>
      </c>
      <c r="Q78" s="251">
        <f ca="1">R78/Q14</f>
        <v>387.02975807348935</v>
      </c>
      <c r="R78" s="252">
        <f ca="1">SUM(R74:R77)</f>
        <v>34832677.609451383</v>
      </c>
      <c r="S78" s="130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118"/>
    </row>
    <row r="79" spans="1:32">
      <c r="A79" s="135"/>
      <c r="B79" s="323"/>
      <c r="C79" s="323"/>
      <c r="D79" s="323"/>
      <c r="E79" s="323"/>
      <c r="F79" s="323"/>
      <c r="G79" s="124"/>
      <c r="H79" s="321" t="s">
        <v>33</v>
      </c>
      <c r="I79" s="305"/>
      <c r="J79" s="305" t="s">
        <v>160</v>
      </c>
      <c r="K79" s="322" t="s">
        <v>86</v>
      </c>
      <c r="L79" s="128"/>
      <c r="M79" s="323"/>
      <c r="N79" s="129"/>
      <c r="O79" s="321" t="s">
        <v>33</v>
      </c>
      <c r="P79" s="305"/>
      <c r="Q79" s="305" t="s">
        <v>160</v>
      </c>
      <c r="R79" s="322" t="s">
        <v>86</v>
      </c>
      <c r="S79" s="130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118"/>
    </row>
    <row r="80" spans="1:32">
      <c r="A80" s="135"/>
      <c r="B80" s="323"/>
      <c r="C80" s="323"/>
      <c r="D80" s="323"/>
      <c r="E80" s="323"/>
      <c r="F80" s="323"/>
      <c r="G80" s="124"/>
      <c r="H80" s="137" t="s">
        <v>163</v>
      </c>
      <c r="I80" s="249"/>
      <c r="J80" s="249">
        <f ca="1">K80/$J$14</f>
        <v>231.65087700021155</v>
      </c>
      <c r="K80" s="222">
        <f ca="1">K59</f>
        <v>20848578.519824382</v>
      </c>
      <c r="L80" s="128"/>
      <c r="M80" s="323"/>
      <c r="N80" s="129"/>
      <c r="O80" s="137" t="s">
        <v>163</v>
      </c>
      <c r="P80" s="249"/>
      <c r="Q80" s="249">
        <f ca="1">R80/$J$14</f>
        <v>232.2178399408977</v>
      </c>
      <c r="R80" s="222">
        <f ca="1">R59</f>
        <v>20899606.935968425</v>
      </c>
      <c r="S80" s="130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118"/>
    </row>
    <row r="81" spans="1:32">
      <c r="A81" s="135"/>
      <c r="B81" s="323"/>
      <c r="C81" s="323"/>
      <c r="D81" s="323"/>
      <c r="E81" s="323"/>
      <c r="F81" s="323"/>
      <c r="G81" s="124"/>
      <c r="H81" s="143" t="s">
        <v>35</v>
      </c>
      <c r="I81" s="337"/>
      <c r="J81" s="337">
        <f ca="1">K81/$J$14</f>
        <v>0</v>
      </c>
      <c r="K81" s="172">
        <f ca="1">K66</f>
        <v>0</v>
      </c>
      <c r="L81" s="128"/>
      <c r="M81" s="323"/>
      <c r="N81" s="129"/>
      <c r="O81" s="143" t="s">
        <v>35</v>
      </c>
      <c r="P81" s="337"/>
      <c r="Q81" s="337">
        <f ca="1">R81/$J$14</f>
        <v>0</v>
      </c>
      <c r="R81" s="172">
        <f ca="1">R66</f>
        <v>0</v>
      </c>
      <c r="S81" s="130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118"/>
    </row>
    <row r="82" spans="1:32">
      <c r="A82" s="135"/>
      <c r="B82" s="323"/>
      <c r="C82" s="323"/>
      <c r="D82" s="323"/>
      <c r="E82" s="323"/>
      <c r="F82" s="323"/>
      <c r="G82" s="124"/>
      <c r="H82" s="153" t="s">
        <v>36</v>
      </c>
      <c r="I82" s="253"/>
      <c r="J82" s="253">
        <f ca="1">K82/$J$14</f>
        <v>154.43391040394368</v>
      </c>
      <c r="K82" s="233">
        <f ca="1">K78-SUM(K80,K81)</f>
        <v>13899053.08599342</v>
      </c>
      <c r="L82" s="128"/>
      <c r="M82" s="323"/>
      <c r="N82" s="129"/>
      <c r="O82" s="153" t="s">
        <v>36</v>
      </c>
      <c r="P82" s="253"/>
      <c r="Q82" s="253">
        <f ca="1">R82/$J$14</f>
        <v>154.81191813259167</v>
      </c>
      <c r="R82" s="233">
        <f ca="1">R78-SUM(R80,R81)</f>
        <v>13933070.673482958</v>
      </c>
      <c r="S82" s="130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118"/>
    </row>
    <row r="83" spans="1:32">
      <c r="A83" s="135"/>
      <c r="B83" s="323"/>
      <c r="C83" s="323"/>
      <c r="D83" s="323"/>
      <c r="E83" s="323"/>
      <c r="F83" s="323"/>
      <c r="G83" s="124"/>
      <c r="H83" s="160" t="s">
        <v>164</v>
      </c>
      <c r="I83" s="338">
        <f ca="1">K83/$E$29</f>
        <v>231650.87244249313</v>
      </c>
      <c r="J83" s="203">
        <f ca="1">K83/J14</f>
        <v>386.08478740415524</v>
      </c>
      <c r="K83" s="254">
        <f ca="1">SUM(K80:K82)</f>
        <v>34747631.605817802</v>
      </c>
      <c r="L83" s="128"/>
      <c r="M83" s="323"/>
      <c r="N83" s="129"/>
      <c r="O83" s="160" t="s">
        <v>164</v>
      </c>
      <c r="P83" s="338">
        <f ca="1">R83/$E$29</f>
        <v>232217.85484409361</v>
      </c>
      <c r="Q83" s="203">
        <f ca="1">R83/Q14</f>
        <v>387.02975807348935</v>
      </c>
      <c r="R83" s="254">
        <f ca="1">SUM(R80:R82)</f>
        <v>34832677.609451383</v>
      </c>
      <c r="S83" s="130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118"/>
    </row>
    <row r="84" spans="1:32">
      <c r="A84" s="135"/>
      <c r="B84" s="323"/>
      <c r="C84" s="323"/>
      <c r="D84" s="323"/>
      <c r="E84" s="323"/>
      <c r="F84" s="323"/>
      <c r="G84" s="124"/>
      <c r="H84" s="255"/>
      <c r="I84" s="256"/>
      <c r="J84" s="257"/>
      <c r="K84" s="258"/>
      <c r="L84" s="128"/>
      <c r="M84" s="323"/>
      <c r="N84" s="129"/>
      <c r="O84" s="259"/>
      <c r="P84" s="260"/>
      <c r="Q84" s="261"/>
      <c r="R84" s="262"/>
      <c r="S84" s="130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118"/>
    </row>
    <row r="85" spans="1:32">
      <c r="A85" s="135"/>
      <c r="B85" s="323"/>
      <c r="C85" s="323"/>
      <c r="D85" s="323"/>
      <c r="E85" s="323"/>
      <c r="F85" s="323"/>
      <c r="G85" s="124"/>
      <c r="H85" s="125" t="s">
        <v>13</v>
      </c>
      <c r="I85" s="235"/>
      <c r="J85" s="235"/>
      <c r="K85" s="236"/>
      <c r="L85" s="128"/>
      <c r="M85" s="323"/>
      <c r="N85" s="129"/>
      <c r="O85" s="125" t="s">
        <v>13</v>
      </c>
      <c r="P85" s="235"/>
      <c r="Q85" s="235"/>
      <c r="R85" s="236"/>
      <c r="S85" s="130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118"/>
    </row>
    <row r="86" spans="1:32">
      <c r="A86" s="135"/>
      <c r="B86" s="323"/>
      <c r="C86" s="323"/>
      <c r="D86" s="323"/>
      <c r="E86" s="323"/>
      <c r="F86" s="323"/>
      <c r="G86" s="124"/>
      <c r="H86" s="137"/>
      <c r="I86" s="263"/>
      <c r="J86" s="263" t="s">
        <v>165</v>
      </c>
      <c r="K86" s="264" t="s">
        <v>166</v>
      </c>
      <c r="L86" s="128"/>
      <c r="M86" s="323"/>
      <c r="N86" s="129"/>
      <c r="O86" s="137"/>
      <c r="P86" s="263"/>
      <c r="Q86" s="263" t="s">
        <v>165</v>
      </c>
      <c r="R86" s="264" t="s">
        <v>166</v>
      </c>
      <c r="S86" s="130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118"/>
    </row>
    <row r="87" spans="1:32">
      <c r="A87" s="135"/>
      <c r="B87" s="323"/>
      <c r="C87" s="323"/>
      <c r="D87" s="323"/>
      <c r="E87" s="323"/>
      <c r="F87" s="323"/>
      <c r="G87" s="124"/>
      <c r="H87" s="143" t="s">
        <v>167</v>
      </c>
      <c r="I87" s="323"/>
      <c r="J87" s="339">
        <v>45292</v>
      </c>
      <c r="K87" s="265">
        <v>0</v>
      </c>
      <c r="L87" s="128"/>
      <c r="M87" s="323"/>
      <c r="N87" s="129"/>
      <c r="O87" s="143" t="s">
        <v>167</v>
      </c>
      <c r="P87" s="323"/>
      <c r="Q87" s="339">
        <v>45292</v>
      </c>
      <c r="R87" s="265">
        <v>0</v>
      </c>
      <c r="S87" s="130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/>
      <c r="AF87" s="118"/>
    </row>
    <row r="88" spans="1:32">
      <c r="A88" s="135"/>
      <c r="B88" s="323"/>
      <c r="C88" s="323"/>
      <c r="D88" s="323"/>
      <c r="E88" s="323"/>
      <c r="F88" s="323"/>
      <c r="G88" s="124"/>
      <c r="H88" s="143" t="s">
        <v>168</v>
      </c>
      <c r="I88" s="323"/>
      <c r="J88" s="340">
        <f>EOMONTH(J87, K88-1)</f>
        <v>45473</v>
      </c>
      <c r="K88" s="265">
        <v>6</v>
      </c>
      <c r="L88" s="128"/>
      <c r="M88" s="323"/>
      <c r="N88" s="129"/>
      <c r="O88" s="143" t="s">
        <v>168</v>
      </c>
      <c r="P88" s="323"/>
      <c r="Q88" s="340">
        <f>EOMONTH(Q87, R88-1)</f>
        <v>45473</v>
      </c>
      <c r="R88" s="265">
        <v>6</v>
      </c>
      <c r="S88" s="130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118"/>
    </row>
    <row r="89" spans="1:32">
      <c r="A89" s="135"/>
      <c r="B89" s="323"/>
      <c r="C89" s="323"/>
      <c r="D89" s="323"/>
      <c r="E89" s="323"/>
      <c r="F89" s="323"/>
      <c r="G89" s="124"/>
      <c r="H89" s="143" t="s">
        <v>169</v>
      </c>
      <c r="I89" s="323"/>
      <c r="J89" s="340">
        <f>J88+1</f>
        <v>45474</v>
      </c>
      <c r="K89" s="266">
        <f>K88+1</f>
        <v>7</v>
      </c>
      <c r="L89" s="128"/>
      <c r="M89" s="323"/>
      <c r="N89" s="129"/>
      <c r="O89" s="143" t="s">
        <v>169</v>
      </c>
      <c r="P89" s="323"/>
      <c r="Q89" s="340">
        <f>Q88+1</f>
        <v>45474</v>
      </c>
      <c r="R89" s="266">
        <f>R88+1</f>
        <v>7</v>
      </c>
      <c r="S89" s="130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118"/>
    </row>
    <row r="90" spans="1:32">
      <c r="A90" s="135"/>
      <c r="B90" s="323"/>
      <c r="C90" s="323"/>
      <c r="D90" s="323"/>
      <c r="E90" s="323"/>
      <c r="F90" s="323"/>
      <c r="G90" s="124"/>
      <c r="H90" s="143" t="s">
        <v>170</v>
      </c>
      <c r="I90" s="323"/>
      <c r="J90" s="340">
        <f>J89</f>
        <v>45474</v>
      </c>
      <c r="K90" s="266">
        <f>K89</f>
        <v>7</v>
      </c>
      <c r="L90" s="128"/>
      <c r="M90" s="323"/>
      <c r="N90" s="129"/>
      <c r="O90" s="143" t="s">
        <v>170</v>
      </c>
      <c r="P90" s="323"/>
      <c r="Q90" s="340">
        <f>Q89</f>
        <v>45474</v>
      </c>
      <c r="R90" s="266">
        <f>R89</f>
        <v>7</v>
      </c>
      <c r="S90" s="130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  <c r="AE90" s="323"/>
      <c r="AF90" s="118"/>
    </row>
    <row r="91" spans="1:32">
      <c r="A91" s="135"/>
      <c r="B91" s="323"/>
      <c r="C91" s="323"/>
      <c r="D91" s="323"/>
      <c r="E91" s="323"/>
      <c r="F91" s="323"/>
      <c r="G91" s="124"/>
      <c r="H91" s="143" t="s">
        <v>171</v>
      </c>
      <c r="I91" s="323"/>
      <c r="J91" s="340">
        <f>EOMONTH(J87,K91-2)+1</f>
        <v>45505</v>
      </c>
      <c r="K91" s="267">
        <f>K89+1</f>
        <v>8</v>
      </c>
      <c r="L91" s="128"/>
      <c r="M91" s="323"/>
      <c r="N91" s="129"/>
      <c r="O91" s="143" t="s">
        <v>171</v>
      </c>
      <c r="P91" s="323"/>
      <c r="Q91" s="340">
        <f>EOMONTH(Q87,R91-2)+1</f>
        <v>45474</v>
      </c>
      <c r="R91" s="267">
        <v>7</v>
      </c>
      <c r="S91" s="130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  <c r="AE91" s="323"/>
      <c r="AF91" s="118"/>
    </row>
    <row r="92" spans="1:32">
      <c r="A92" s="135"/>
      <c r="B92" s="323"/>
      <c r="C92" s="323"/>
      <c r="D92" s="323"/>
      <c r="E92" s="323"/>
      <c r="F92" s="323"/>
      <c r="G92" s="124"/>
      <c r="H92" s="143" t="s">
        <v>172</v>
      </c>
      <c r="I92" s="323"/>
      <c r="J92" s="340">
        <f>EOMONTH(J87, K92-1)</f>
        <v>45688</v>
      </c>
      <c r="K92" s="267">
        <f>K91+ROUNDUP((J16/8000)/4.3+2,0)</f>
        <v>13</v>
      </c>
      <c r="L92" s="128"/>
      <c r="M92" s="323"/>
      <c r="N92" s="129"/>
      <c r="O92" s="143" t="s">
        <v>172</v>
      </c>
      <c r="P92" s="323"/>
      <c r="Q92" s="340">
        <f>EOMONTH(Q87, R92-2)+1</f>
        <v>45474</v>
      </c>
      <c r="R92" s="265">
        <v>7</v>
      </c>
      <c r="S92" s="130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118"/>
    </row>
    <row r="93" spans="1:32">
      <c r="A93" s="135"/>
      <c r="B93" s="323"/>
      <c r="C93" s="323"/>
      <c r="D93" s="323"/>
      <c r="E93" s="323"/>
      <c r="F93" s="323"/>
      <c r="G93" s="124"/>
      <c r="H93" s="143" t="s">
        <v>173</v>
      </c>
      <c r="I93" s="323"/>
      <c r="J93" s="340">
        <f>EOMONTH(J87, K93-1)</f>
        <v>45838</v>
      </c>
      <c r="K93" s="267">
        <f>K90+J13-1</f>
        <v>18</v>
      </c>
      <c r="L93" s="128"/>
      <c r="M93" s="323"/>
      <c r="N93" s="129"/>
      <c r="O93" s="143" t="s">
        <v>173</v>
      </c>
      <c r="P93" s="323"/>
      <c r="Q93" s="340">
        <f>EOMONTH(Q87, R93-1)</f>
        <v>46022</v>
      </c>
      <c r="R93" s="267">
        <f>R90+Q13-1</f>
        <v>24</v>
      </c>
      <c r="S93" s="130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118"/>
    </row>
    <row r="94" spans="1:32">
      <c r="A94" s="135"/>
      <c r="B94" s="323"/>
      <c r="C94" s="323"/>
      <c r="D94" s="323"/>
      <c r="E94" s="323"/>
      <c r="F94" s="323"/>
      <c r="G94" s="124"/>
      <c r="H94" s="143" t="s">
        <v>174</v>
      </c>
      <c r="I94" s="323"/>
      <c r="J94" s="340">
        <f>J93+1</f>
        <v>45839</v>
      </c>
      <c r="K94" s="266">
        <f>K93+1</f>
        <v>19</v>
      </c>
      <c r="L94" s="268"/>
      <c r="M94" s="323"/>
      <c r="N94" s="129"/>
      <c r="O94" s="143" t="s">
        <v>174</v>
      </c>
      <c r="P94" s="323"/>
      <c r="Q94" s="340">
        <f>Q93+1</f>
        <v>46023</v>
      </c>
      <c r="R94" s="266">
        <f>R93+1</f>
        <v>25</v>
      </c>
      <c r="S94" s="130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118"/>
    </row>
    <row r="95" spans="1:32">
      <c r="A95" s="135"/>
      <c r="B95" s="323"/>
      <c r="C95" s="323"/>
      <c r="D95" s="323"/>
      <c r="E95" s="323"/>
      <c r="F95" s="323"/>
      <c r="G95" s="124"/>
      <c r="H95" s="143" t="s">
        <v>175</v>
      </c>
      <c r="I95" s="327"/>
      <c r="J95" s="340">
        <f>EOMONTH(J94, K95-K94)</f>
        <v>46203</v>
      </c>
      <c r="K95" s="266">
        <f>K94+E18-1</f>
        <v>30</v>
      </c>
      <c r="L95" s="128"/>
      <c r="M95" s="323"/>
      <c r="N95" s="129"/>
      <c r="O95" s="143" t="s">
        <v>175</v>
      </c>
      <c r="P95" s="327"/>
      <c r="Q95" s="340">
        <f>EOMONTH(Q94, R95-R94)</f>
        <v>46387</v>
      </c>
      <c r="R95" s="266">
        <f>R94+E18-1</f>
        <v>36</v>
      </c>
      <c r="S95" s="130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118"/>
    </row>
    <row r="96" spans="1:32">
      <c r="A96" s="135"/>
      <c r="B96" s="323"/>
      <c r="C96" s="323"/>
      <c r="D96" s="323"/>
      <c r="E96" s="323"/>
      <c r="F96" s="323"/>
      <c r="G96" s="124"/>
      <c r="H96" s="153" t="s">
        <v>87</v>
      </c>
      <c r="I96" s="149"/>
      <c r="J96" s="269">
        <f>EOMONTH(J87, K96)</f>
        <v>46234</v>
      </c>
      <c r="K96" s="270">
        <f>K95</f>
        <v>30</v>
      </c>
      <c r="L96" s="128"/>
      <c r="M96" s="323"/>
      <c r="N96" s="129"/>
      <c r="O96" s="153" t="s">
        <v>87</v>
      </c>
      <c r="P96" s="149"/>
      <c r="Q96" s="269">
        <f>EOMONTH(Q87, R96)</f>
        <v>46418</v>
      </c>
      <c r="R96" s="270">
        <f>R95</f>
        <v>36</v>
      </c>
      <c r="S96" s="130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118"/>
    </row>
    <row r="97" spans="1:32">
      <c r="A97" s="135"/>
      <c r="B97" s="323"/>
      <c r="C97" s="323"/>
      <c r="D97" s="323"/>
      <c r="E97" s="323"/>
      <c r="F97" s="323"/>
      <c r="G97" s="124"/>
      <c r="H97" s="325"/>
      <c r="I97" s="325"/>
      <c r="J97" s="325"/>
      <c r="K97" s="325"/>
      <c r="L97" s="128"/>
      <c r="M97" s="323"/>
      <c r="N97" s="129"/>
      <c r="O97" s="344"/>
      <c r="P97" s="344"/>
      <c r="Q97" s="344"/>
      <c r="R97" s="344"/>
      <c r="S97" s="130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118"/>
    </row>
    <row r="98" spans="1:32">
      <c r="A98" s="135"/>
      <c r="B98" s="323"/>
      <c r="C98" s="323"/>
      <c r="D98" s="323"/>
      <c r="E98" s="323"/>
      <c r="F98" s="323"/>
      <c r="G98" s="124"/>
      <c r="H98" s="341" t="s">
        <v>176</v>
      </c>
      <c r="I98" s="341"/>
      <c r="J98" s="325"/>
      <c r="K98" s="325"/>
      <c r="L98" s="128"/>
      <c r="M98" s="323"/>
      <c r="N98" s="129"/>
      <c r="O98" s="347" t="s">
        <v>176</v>
      </c>
      <c r="P98" s="347"/>
      <c r="Q98" s="344"/>
      <c r="R98" s="344"/>
      <c r="S98" s="130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118"/>
    </row>
    <row r="99" spans="1:32">
      <c r="A99" s="135"/>
      <c r="B99" s="323"/>
      <c r="C99" s="323"/>
      <c r="D99" s="323"/>
      <c r="E99" s="323"/>
      <c r="F99" s="323"/>
      <c r="G99" s="124"/>
      <c r="H99" s="271" t="s">
        <v>177</v>
      </c>
      <c r="I99" s="272">
        <f ca="1">'Cash Flow - Modular'!B92</f>
        <v>0.15191290974617006</v>
      </c>
      <c r="J99" s="325"/>
      <c r="K99" s="325"/>
      <c r="L99" s="128"/>
      <c r="M99" s="323"/>
      <c r="N99" s="129"/>
      <c r="O99" s="271" t="s">
        <v>177</v>
      </c>
      <c r="P99" s="272">
        <f ca="1">'Cash Flow - Traditional'!B92</f>
        <v>0.13278972506523132</v>
      </c>
      <c r="Q99" s="344"/>
      <c r="R99" s="344"/>
      <c r="S99" s="130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118"/>
    </row>
    <row r="100" spans="1:32">
      <c r="A100" s="135"/>
      <c r="B100" s="323"/>
      <c r="C100" s="323"/>
      <c r="D100" s="323"/>
      <c r="E100" s="323"/>
      <c r="F100" s="323"/>
      <c r="G100" s="124"/>
      <c r="H100" s="273" t="s">
        <v>178</v>
      </c>
      <c r="I100" s="274">
        <f ca="1">'Cash Flow - Modular'!B93</f>
        <v>1.2741888837615865</v>
      </c>
      <c r="J100" s="325"/>
      <c r="K100" s="325"/>
      <c r="L100" s="128"/>
      <c r="M100" s="323"/>
      <c r="N100" s="129"/>
      <c r="O100" s="273" t="s">
        <v>178</v>
      </c>
      <c r="P100" s="274">
        <f ca="1">'Cash Flow - Traditional'!B93</f>
        <v>1.274524157343103</v>
      </c>
      <c r="Q100" s="344"/>
      <c r="R100" s="344"/>
      <c r="S100" s="130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118"/>
    </row>
    <row r="101" spans="1:32">
      <c r="A101" s="135"/>
      <c r="B101" s="323"/>
      <c r="C101" s="323"/>
      <c r="D101" s="323"/>
      <c r="E101" s="323"/>
      <c r="F101" s="323"/>
      <c r="G101" s="124"/>
      <c r="H101" s="275" t="s">
        <v>179</v>
      </c>
      <c r="I101" s="276">
        <f ca="1">'Cash Flow - Modular'!B94</f>
        <v>9103619.318652194</v>
      </c>
      <c r="J101" s="325"/>
      <c r="K101" s="325"/>
      <c r="L101" s="128"/>
      <c r="M101" s="323"/>
      <c r="N101" s="129"/>
      <c r="O101" s="275" t="s">
        <v>179</v>
      </c>
      <c r="P101" s="276">
        <f ca="1">'Cash Flow - Traditional'!B94</f>
        <v>9114751.0721057132</v>
      </c>
      <c r="Q101" s="344"/>
      <c r="R101" s="344"/>
      <c r="S101" s="130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  <c r="AE101" s="323"/>
      <c r="AF101" s="118"/>
    </row>
    <row r="102" spans="1:32">
      <c r="A102" s="135"/>
      <c r="B102" s="323"/>
      <c r="C102" s="323"/>
      <c r="D102" s="323"/>
      <c r="E102" s="323"/>
      <c r="F102" s="323"/>
      <c r="G102" s="124"/>
      <c r="H102" s="325"/>
      <c r="I102" s="325"/>
      <c r="J102" s="325"/>
      <c r="K102" s="325"/>
      <c r="L102" s="128"/>
      <c r="M102" s="323"/>
      <c r="N102" s="129"/>
      <c r="O102" s="344"/>
      <c r="P102" s="344"/>
      <c r="Q102" s="344"/>
      <c r="R102" s="344"/>
      <c r="S102" s="130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  <c r="AE102" s="323"/>
      <c r="AF102" s="118"/>
    </row>
    <row r="103" spans="1:32">
      <c r="A103" s="135"/>
      <c r="B103" s="323"/>
      <c r="C103" s="323"/>
      <c r="D103" s="323"/>
      <c r="E103" s="323"/>
      <c r="F103" s="323"/>
      <c r="G103" s="124"/>
      <c r="H103" s="341" t="s">
        <v>180</v>
      </c>
      <c r="I103" s="341"/>
      <c r="J103" s="325"/>
      <c r="K103" s="325"/>
      <c r="L103" s="128"/>
      <c r="M103" s="323"/>
      <c r="N103" s="129"/>
      <c r="O103" s="347" t="s">
        <v>180</v>
      </c>
      <c r="P103" s="347"/>
      <c r="Q103" s="344"/>
      <c r="R103" s="344"/>
      <c r="S103" s="130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  <c r="AE103" s="323"/>
      <c r="AF103" s="118"/>
    </row>
    <row r="104" spans="1:32">
      <c r="A104" s="135"/>
      <c r="B104" s="323"/>
      <c r="C104" s="323"/>
      <c r="D104" s="323"/>
      <c r="E104" s="323"/>
      <c r="F104" s="323"/>
      <c r="G104" s="124"/>
      <c r="H104" s="271" t="s">
        <v>181</v>
      </c>
      <c r="I104" s="272">
        <f ca="1">'Cash Flow - Modular'!B105</f>
        <v>0.22957487702369692</v>
      </c>
      <c r="J104" s="325"/>
      <c r="K104" s="325"/>
      <c r="L104" s="128"/>
      <c r="M104" s="323"/>
      <c r="N104" s="129"/>
      <c r="O104" s="271" t="s">
        <v>181</v>
      </c>
      <c r="P104" s="272">
        <f ca="1">'Cash Flow - Traditional'!B105</f>
        <v>0.18366263508796693</v>
      </c>
      <c r="Q104" s="344"/>
      <c r="R104" s="344"/>
      <c r="S104" s="130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118"/>
    </row>
    <row r="105" spans="1:32">
      <c r="A105" s="135"/>
      <c r="B105" s="323"/>
      <c r="C105" s="323"/>
      <c r="D105" s="323"/>
      <c r="E105" s="323"/>
      <c r="F105" s="323"/>
      <c r="G105" s="124"/>
      <c r="H105" s="273" t="s">
        <v>178</v>
      </c>
      <c r="I105" s="274">
        <f ca="1">'Cash Flow - Modular'!B106</f>
        <v>1.5437773228135856</v>
      </c>
      <c r="J105" s="325"/>
      <c r="K105" s="325"/>
      <c r="L105" s="128"/>
      <c r="M105" s="323"/>
      <c r="N105" s="129"/>
      <c r="O105" s="273" t="s">
        <v>178</v>
      </c>
      <c r="P105" s="274">
        <f ca="1">'Cash Flow - Traditional'!B106</f>
        <v>1.5371320938531254</v>
      </c>
      <c r="Q105" s="344"/>
      <c r="R105" s="344"/>
      <c r="S105" s="130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118"/>
    </row>
    <row r="106" spans="1:32">
      <c r="A106" s="135"/>
      <c r="B106" s="323"/>
      <c r="C106" s="323"/>
      <c r="D106" s="323"/>
      <c r="E106" s="323"/>
      <c r="F106" s="323"/>
      <c r="G106" s="124"/>
      <c r="H106" s="275" t="s">
        <v>179</v>
      </c>
      <c r="I106" s="277">
        <f ca="1">'Cash Flow - Modular'!B107</f>
        <v>7557989.0162509102</v>
      </c>
      <c r="J106" s="325"/>
      <c r="K106" s="325"/>
      <c r="L106" s="128"/>
      <c r="M106" s="323"/>
      <c r="N106" s="129"/>
      <c r="O106" s="275" t="s">
        <v>179</v>
      </c>
      <c r="P106" s="276">
        <f ca="1">'Cash Flow - Traditional'!B107</f>
        <v>7483900.7369557638</v>
      </c>
      <c r="Q106" s="344"/>
      <c r="R106" s="344"/>
      <c r="S106" s="130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/>
      <c r="AF106" s="118"/>
    </row>
    <row r="107" spans="1:32">
      <c r="A107" s="135"/>
      <c r="B107" s="323"/>
      <c r="C107" s="323"/>
      <c r="D107" s="323"/>
      <c r="E107" s="323"/>
      <c r="F107" s="323"/>
      <c r="G107" s="124"/>
      <c r="H107" s="325"/>
      <c r="I107" s="325"/>
      <c r="J107" s="325"/>
      <c r="K107" s="325"/>
      <c r="L107" s="128"/>
      <c r="M107" s="323"/>
      <c r="N107" s="129"/>
      <c r="O107" s="344"/>
      <c r="P107" s="344"/>
      <c r="Q107" s="344"/>
      <c r="R107" s="344"/>
      <c r="S107" s="130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118"/>
    </row>
    <row r="108" spans="1:32">
      <c r="A108" s="135"/>
      <c r="B108" s="323"/>
      <c r="C108" s="323"/>
      <c r="D108" s="323"/>
      <c r="E108" s="323"/>
      <c r="F108" s="323"/>
      <c r="G108" s="124"/>
      <c r="H108" s="342" t="s">
        <v>182</v>
      </c>
      <c r="I108" s="343" t="s">
        <v>183</v>
      </c>
      <c r="J108" s="343" t="s">
        <v>184</v>
      </c>
      <c r="K108" s="325"/>
      <c r="L108" s="128"/>
      <c r="M108" s="323"/>
      <c r="N108" s="129"/>
      <c r="O108" s="342" t="s">
        <v>182</v>
      </c>
      <c r="P108" s="343" t="s">
        <v>183</v>
      </c>
      <c r="Q108" s="343" t="s">
        <v>184</v>
      </c>
      <c r="R108" s="344"/>
      <c r="S108" s="130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23"/>
      <c r="AD108" s="323"/>
      <c r="AE108" s="323"/>
      <c r="AF108" s="118"/>
    </row>
    <row r="109" spans="1:32">
      <c r="A109" s="135"/>
      <c r="B109" s="323"/>
      <c r="C109" s="323"/>
      <c r="D109" s="323"/>
      <c r="E109" s="323"/>
      <c r="F109" s="323"/>
      <c r="G109" s="124"/>
      <c r="H109" s="278" t="s">
        <v>185</v>
      </c>
      <c r="I109" s="279">
        <f>INDEX(V19:AE19,MATCH(ROUNDUP(K95/12,0),V6:AE6,0))</f>
        <v>2456643.9499312481</v>
      </c>
      <c r="J109" s="280">
        <f>INDEX(V19:AE19,MATCH(ROUNDUP(K96/12,0),V6:AE6,0))</f>
        <v>2456643.9499312481</v>
      </c>
      <c r="K109" s="325"/>
      <c r="L109" s="128"/>
      <c r="M109" s="323"/>
      <c r="N109" s="129"/>
      <c r="O109" s="278" t="s">
        <v>185</v>
      </c>
      <c r="P109" s="279">
        <f>INDEX(V19:AE19,MATCH(ROUNDUP(R95/12,0),V6:AE6,0))</f>
        <v>2456643.9499312481</v>
      </c>
      <c r="Q109" s="280">
        <f>INDEX(V19:AE19,MATCH(ROUNDUP(R96/12,0),V6:AE6,0))</f>
        <v>2456643.9499312481</v>
      </c>
      <c r="R109" s="344"/>
      <c r="S109" s="130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118"/>
    </row>
    <row r="110" spans="1:32">
      <c r="A110" s="135"/>
      <c r="B110" s="323"/>
      <c r="C110" s="323"/>
      <c r="D110" s="323"/>
      <c r="E110" s="323"/>
      <c r="F110" s="323"/>
      <c r="G110" s="124"/>
      <c r="H110" s="278" t="s">
        <v>186</v>
      </c>
      <c r="I110" s="280">
        <f ca="1">K78</f>
        <v>34747631.605817802</v>
      </c>
      <c r="J110" s="280">
        <f ca="1">K78</f>
        <v>34747631.605817802</v>
      </c>
      <c r="K110" s="325"/>
      <c r="L110" s="128"/>
      <c r="M110" s="323"/>
      <c r="N110" s="129"/>
      <c r="O110" s="278" t="s">
        <v>186</v>
      </c>
      <c r="P110" s="280">
        <f ca="1">R78</f>
        <v>34832677.609451383</v>
      </c>
      <c r="Q110" s="280">
        <f ca="1">R78</f>
        <v>34832677.609451383</v>
      </c>
      <c r="R110" s="344"/>
      <c r="S110" s="130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118"/>
    </row>
    <row r="111" spans="1:32">
      <c r="A111" s="135"/>
      <c r="B111" s="323"/>
      <c r="C111" s="323"/>
      <c r="D111" s="323"/>
      <c r="E111" s="323"/>
      <c r="F111" s="323"/>
      <c r="G111" s="124"/>
      <c r="H111" s="281" t="s">
        <v>39</v>
      </c>
      <c r="I111" s="282">
        <f ca="1">I109/I110</f>
        <v>7.0699608474032852E-2</v>
      </c>
      <c r="J111" s="282">
        <f ca="1">J109/J110</f>
        <v>7.0699608474032852E-2</v>
      </c>
      <c r="K111" s="325"/>
      <c r="L111" s="128"/>
      <c r="M111" s="323"/>
      <c r="N111" s="129"/>
      <c r="O111" s="281" t="s">
        <v>39</v>
      </c>
      <c r="P111" s="282">
        <f ca="1">P109/P110</f>
        <v>7.0526991277428258E-2</v>
      </c>
      <c r="Q111" s="282">
        <f ca="1">Q109/Q110</f>
        <v>7.0526991277428258E-2</v>
      </c>
      <c r="R111" s="344"/>
      <c r="S111" s="130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23"/>
      <c r="AD111" s="323"/>
      <c r="AE111" s="323"/>
      <c r="AF111" s="118"/>
    </row>
    <row r="112" spans="1:32">
      <c r="A112" s="135"/>
      <c r="B112" s="323"/>
      <c r="C112" s="323"/>
      <c r="D112" s="323"/>
      <c r="E112" s="323"/>
      <c r="F112" s="323"/>
      <c r="G112" s="124"/>
      <c r="H112" s="278" t="s">
        <v>184</v>
      </c>
      <c r="I112" s="280"/>
      <c r="J112" s="280">
        <f>'Cash Flow - Modular'!B78</f>
        <v>42253679.311917134</v>
      </c>
      <c r="K112" s="325"/>
      <c r="L112" s="128"/>
      <c r="M112" s="323"/>
      <c r="N112" s="129"/>
      <c r="O112" s="278" t="s">
        <v>184</v>
      </c>
      <c r="P112" s="280"/>
      <c r="Q112" s="280">
        <f>'Cash Flow - Traditional'!B78</f>
        <v>42253679.311917134</v>
      </c>
      <c r="R112" s="344"/>
      <c r="S112" s="130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118"/>
    </row>
    <row r="113" spans="1:32" ht="15" thickBot="1">
      <c r="A113" s="135"/>
      <c r="B113" s="323"/>
      <c r="C113" s="323"/>
      <c r="D113" s="323"/>
      <c r="E113" s="323"/>
      <c r="F113" s="323"/>
      <c r="G113" s="283"/>
      <c r="H113" s="284"/>
      <c r="I113" s="284"/>
      <c r="J113" s="284"/>
      <c r="K113" s="284"/>
      <c r="L113" s="285"/>
      <c r="M113" s="323"/>
      <c r="N113" s="286"/>
      <c r="O113" s="287"/>
      <c r="P113" s="287"/>
      <c r="Q113" s="287"/>
      <c r="R113" s="287"/>
      <c r="S113" s="288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118"/>
    </row>
    <row r="114" spans="1:32" ht="15">
      <c r="A114" s="135"/>
      <c r="B114" s="323"/>
      <c r="C114" s="323"/>
      <c r="D114" s="323"/>
      <c r="E114" s="323"/>
      <c r="F114" s="32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118"/>
    </row>
    <row r="115" spans="1:32" ht="15">
      <c r="A115" s="135"/>
      <c r="B115" s="323"/>
      <c r="C115" s="323"/>
      <c r="D115" s="323"/>
      <c r="E115" s="323"/>
      <c r="F115" s="32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23"/>
      <c r="AD115" s="323"/>
      <c r="AE115" s="323"/>
      <c r="AF115" s="118"/>
    </row>
    <row r="116" spans="1:32" ht="16" thickBot="1">
      <c r="A116" s="289"/>
      <c r="B116" s="290"/>
      <c r="C116" s="290"/>
      <c r="D116" s="290"/>
      <c r="E116" s="290"/>
      <c r="F116" s="290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290"/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1"/>
    </row>
    <row r="117" spans="1:32" ht="15">
      <c r="G117"/>
      <c r="H117"/>
      <c r="I117"/>
      <c r="J117"/>
      <c r="K117"/>
      <c r="L117"/>
      <c r="M117"/>
      <c r="N117"/>
      <c r="O117"/>
      <c r="P117"/>
      <c r="Q117"/>
      <c r="R117"/>
      <c r="S117"/>
    </row>
  </sheetData>
  <mergeCells count="5">
    <mergeCell ref="H6:K6"/>
    <mergeCell ref="O6:R6"/>
    <mergeCell ref="H57:K57"/>
    <mergeCell ref="I19:I24"/>
    <mergeCell ref="P19:P24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4463-EA07-40F3-A78B-182FBAEA5586}">
  <dimension ref="A1:H8"/>
  <sheetViews>
    <sheetView zoomScale="80" zoomScaleNormal="80" workbookViewId="0">
      <selection activeCell="B3" sqref="B3"/>
    </sheetView>
  </sheetViews>
  <sheetFormatPr baseColWidth="10" defaultColWidth="8.83203125" defaultRowHeight="15"/>
  <cols>
    <col min="1" max="1" width="11.5" customWidth="1"/>
    <col min="2" max="2" width="10.5" customWidth="1"/>
    <col min="3" max="3" width="33.5" bestFit="1" customWidth="1"/>
    <col min="4" max="5" width="20.5" customWidth="1"/>
    <col min="6" max="6" width="21" customWidth="1"/>
    <col min="7" max="7" width="18.83203125" customWidth="1"/>
    <col min="8" max="8" width="17.1640625" bestFit="1" customWidth="1"/>
  </cols>
  <sheetData>
    <row r="1" spans="1:8">
      <c r="A1" s="96"/>
      <c r="E1" s="96"/>
    </row>
    <row r="6" spans="1:8">
      <c r="B6" s="5"/>
      <c r="C6" s="5"/>
      <c r="D6" s="5"/>
      <c r="E6" s="5"/>
      <c r="F6" s="5"/>
      <c r="G6" s="5"/>
      <c r="H6" s="5"/>
    </row>
    <row r="7" spans="1:8">
      <c r="A7" s="5"/>
      <c r="B7" s="6"/>
      <c r="H7" s="7"/>
    </row>
    <row r="8" spans="1:8">
      <c r="A8" s="5"/>
      <c r="F8" s="9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82EF-1462-4D9D-AC72-2E07FDE0EEF8}">
  <dimension ref="A1"/>
  <sheetViews>
    <sheetView showGridLines="0" zoomScale="80" zoomScaleNormal="80"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3EED-E246-4148-A5B1-BCE265010B4C}">
  <sheetPr>
    <tabColor theme="3" tint="0.79998168889431442"/>
  </sheetPr>
  <dimension ref="A5:BK107"/>
  <sheetViews>
    <sheetView showGridLines="0" zoomScale="80" zoomScaleNormal="80" workbookViewId="0"/>
  </sheetViews>
  <sheetFormatPr baseColWidth="10" defaultColWidth="8.83203125" defaultRowHeight="15"/>
  <cols>
    <col min="1" max="1" width="42" bestFit="1" customWidth="1"/>
    <col min="2" max="2" width="14.5" bestFit="1" customWidth="1"/>
    <col min="3" max="3" width="13" bestFit="1" customWidth="1"/>
    <col min="4" max="10" width="12.5" bestFit="1" customWidth="1"/>
    <col min="11" max="11" width="13" bestFit="1" customWidth="1"/>
    <col min="12" max="63" width="12.5" bestFit="1" customWidth="1"/>
  </cols>
  <sheetData>
    <row r="5" spans="1:63" s="50" customFormat="1" ht="19">
      <c r="A5" s="371" t="s">
        <v>187</v>
      </c>
    </row>
    <row r="6" spans="1:63">
      <c r="A6" s="374"/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</row>
    <row r="7" spans="1:63">
      <c r="A7" t="s">
        <v>188</v>
      </c>
      <c r="C7" s="4">
        <f>Inputs!J87</f>
        <v>45292</v>
      </c>
      <c r="D7" s="4">
        <f>EOMONTH(C7, 0)+1</f>
        <v>45323</v>
      </c>
      <c r="E7" s="4">
        <f t="shared" ref="E7:BK7" si="0">EOMONTH(D7, 0)+1</f>
        <v>45352</v>
      </c>
      <c r="F7" s="4">
        <f t="shared" si="0"/>
        <v>45383</v>
      </c>
      <c r="G7" s="4">
        <f t="shared" si="0"/>
        <v>45413</v>
      </c>
      <c r="H7" s="4">
        <f t="shared" si="0"/>
        <v>45444</v>
      </c>
      <c r="I7" s="4">
        <f t="shared" si="0"/>
        <v>45474</v>
      </c>
      <c r="J7" s="4">
        <f t="shared" si="0"/>
        <v>45505</v>
      </c>
      <c r="K7" s="4">
        <f t="shared" si="0"/>
        <v>45536</v>
      </c>
      <c r="L7" s="4">
        <f t="shared" si="0"/>
        <v>45566</v>
      </c>
      <c r="M7" s="4">
        <f t="shared" si="0"/>
        <v>45597</v>
      </c>
      <c r="N7" s="4">
        <f t="shared" si="0"/>
        <v>45627</v>
      </c>
      <c r="O7" s="4">
        <f t="shared" si="0"/>
        <v>45658</v>
      </c>
      <c r="P7" s="4">
        <f t="shared" si="0"/>
        <v>45689</v>
      </c>
      <c r="Q7" s="4">
        <f t="shared" si="0"/>
        <v>45717</v>
      </c>
      <c r="R7" s="4">
        <f t="shared" si="0"/>
        <v>45748</v>
      </c>
      <c r="S7" s="4">
        <f t="shared" si="0"/>
        <v>45778</v>
      </c>
      <c r="T7" s="4">
        <f t="shared" si="0"/>
        <v>45809</v>
      </c>
      <c r="U7" s="4">
        <f t="shared" si="0"/>
        <v>45839</v>
      </c>
      <c r="V7" s="4">
        <f t="shared" si="0"/>
        <v>45870</v>
      </c>
      <c r="W7" s="4">
        <f t="shared" si="0"/>
        <v>45901</v>
      </c>
      <c r="X7" s="4">
        <f t="shared" si="0"/>
        <v>45931</v>
      </c>
      <c r="Y7" s="4">
        <f t="shared" si="0"/>
        <v>45962</v>
      </c>
      <c r="Z7" s="4">
        <f t="shared" si="0"/>
        <v>45992</v>
      </c>
      <c r="AA7" s="4">
        <f t="shared" si="0"/>
        <v>46023</v>
      </c>
      <c r="AB7" s="4">
        <f t="shared" si="0"/>
        <v>46054</v>
      </c>
      <c r="AC7" s="4">
        <f t="shared" si="0"/>
        <v>46082</v>
      </c>
      <c r="AD7" s="4">
        <f t="shared" si="0"/>
        <v>46113</v>
      </c>
      <c r="AE7" s="4">
        <f t="shared" si="0"/>
        <v>46143</v>
      </c>
      <c r="AF7" s="4">
        <f t="shared" si="0"/>
        <v>46174</v>
      </c>
      <c r="AG7" s="4">
        <f t="shared" si="0"/>
        <v>46204</v>
      </c>
      <c r="AH7" s="4">
        <f t="shared" si="0"/>
        <v>46235</v>
      </c>
      <c r="AI7" s="4">
        <f t="shared" si="0"/>
        <v>46266</v>
      </c>
      <c r="AJ7" s="4">
        <f t="shared" si="0"/>
        <v>46296</v>
      </c>
      <c r="AK7" s="4">
        <f t="shared" si="0"/>
        <v>46327</v>
      </c>
      <c r="AL7" s="4">
        <f t="shared" si="0"/>
        <v>46357</v>
      </c>
      <c r="AM7" s="4">
        <f t="shared" si="0"/>
        <v>46388</v>
      </c>
      <c r="AN7" s="4">
        <f t="shared" si="0"/>
        <v>46419</v>
      </c>
      <c r="AO7" s="4">
        <f t="shared" si="0"/>
        <v>46447</v>
      </c>
      <c r="AP7" s="4">
        <f t="shared" si="0"/>
        <v>46478</v>
      </c>
      <c r="AQ7" s="4">
        <f t="shared" si="0"/>
        <v>46508</v>
      </c>
      <c r="AR7" s="4">
        <f t="shared" si="0"/>
        <v>46539</v>
      </c>
      <c r="AS7" s="4">
        <f t="shared" si="0"/>
        <v>46569</v>
      </c>
      <c r="AT7" s="4">
        <f t="shared" si="0"/>
        <v>46600</v>
      </c>
      <c r="AU7" s="4">
        <f t="shared" si="0"/>
        <v>46631</v>
      </c>
      <c r="AV7" s="4">
        <f t="shared" si="0"/>
        <v>46661</v>
      </c>
      <c r="AW7" s="4">
        <f t="shared" si="0"/>
        <v>46692</v>
      </c>
      <c r="AX7" s="4">
        <f t="shared" si="0"/>
        <v>46722</v>
      </c>
      <c r="AY7" s="4">
        <f t="shared" si="0"/>
        <v>46753</v>
      </c>
      <c r="AZ7" s="4">
        <f t="shared" si="0"/>
        <v>46784</v>
      </c>
      <c r="BA7" s="4">
        <f t="shared" si="0"/>
        <v>46813</v>
      </c>
      <c r="BB7" s="4">
        <f t="shared" si="0"/>
        <v>46844</v>
      </c>
      <c r="BC7" s="4">
        <f t="shared" si="0"/>
        <v>46874</v>
      </c>
      <c r="BD7" s="4">
        <f t="shared" si="0"/>
        <v>46905</v>
      </c>
      <c r="BE7" s="4">
        <f t="shared" si="0"/>
        <v>46935</v>
      </c>
      <c r="BF7" s="4">
        <f t="shared" si="0"/>
        <v>46966</v>
      </c>
      <c r="BG7" s="4">
        <f t="shared" si="0"/>
        <v>46997</v>
      </c>
      <c r="BH7" s="4">
        <f t="shared" si="0"/>
        <v>47027</v>
      </c>
      <c r="BI7" s="4">
        <f t="shared" si="0"/>
        <v>47058</v>
      </c>
      <c r="BJ7" s="4">
        <f t="shared" si="0"/>
        <v>47088</v>
      </c>
      <c r="BK7" s="4">
        <f t="shared" si="0"/>
        <v>47119</v>
      </c>
    </row>
    <row r="8" spans="1:63">
      <c r="A8" t="s">
        <v>166</v>
      </c>
      <c r="C8">
        <v>0</v>
      </c>
      <c r="D8">
        <f>C8+1</f>
        <v>1</v>
      </c>
      <c r="E8">
        <f t="shared" ref="E8:AK8" si="1">D8+1</f>
        <v>2</v>
      </c>
      <c r="F8">
        <f t="shared" si="1"/>
        <v>3</v>
      </c>
      <c r="G8">
        <f t="shared" si="1"/>
        <v>4</v>
      </c>
      <c r="H8">
        <f t="shared" si="1"/>
        <v>5</v>
      </c>
      <c r="I8">
        <f t="shared" si="1"/>
        <v>6</v>
      </c>
      <c r="J8">
        <f t="shared" si="1"/>
        <v>7</v>
      </c>
      <c r="K8">
        <f t="shared" si="1"/>
        <v>8</v>
      </c>
      <c r="L8">
        <f t="shared" si="1"/>
        <v>9</v>
      </c>
      <c r="M8">
        <f t="shared" si="1"/>
        <v>10</v>
      </c>
      <c r="N8">
        <f t="shared" si="1"/>
        <v>11</v>
      </c>
      <c r="O8">
        <f t="shared" si="1"/>
        <v>12</v>
      </c>
      <c r="P8">
        <f t="shared" si="1"/>
        <v>13</v>
      </c>
      <c r="Q8">
        <f t="shared" si="1"/>
        <v>14</v>
      </c>
      <c r="R8">
        <f t="shared" si="1"/>
        <v>15</v>
      </c>
      <c r="S8">
        <f t="shared" si="1"/>
        <v>16</v>
      </c>
      <c r="T8">
        <f t="shared" si="1"/>
        <v>17</v>
      </c>
      <c r="U8">
        <f t="shared" si="1"/>
        <v>18</v>
      </c>
      <c r="V8">
        <f t="shared" si="1"/>
        <v>19</v>
      </c>
      <c r="W8">
        <f t="shared" si="1"/>
        <v>20</v>
      </c>
      <c r="X8">
        <f t="shared" si="1"/>
        <v>21</v>
      </c>
      <c r="Y8">
        <f t="shared" si="1"/>
        <v>22</v>
      </c>
      <c r="Z8">
        <f t="shared" si="1"/>
        <v>23</v>
      </c>
      <c r="AA8">
        <f t="shared" si="1"/>
        <v>24</v>
      </c>
      <c r="AB8">
        <f t="shared" si="1"/>
        <v>25</v>
      </c>
      <c r="AC8">
        <f t="shared" si="1"/>
        <v>26</v>
      </c>
      <c r="AD8">
        <f t="shared" si="1"/>
        <v>27</v>
      </c>
      <c r="AE8">
        <f t="shared" si="1"/>
        <v>28</v>
      </c>
      <c r="AF8">
        <f t="shared" si="1"/>
        <v>29</v>
      </c>
      <c r="AG8">
        <f t="shared" si="1"/>
        <v>30</v>
      </c>
      <c r="AH8">
        <f t="shared" si="1"/>
        <v>31</v>
      </c>
      <c r="AI8">
        <f t="shared" si="1"/>
        <v>32</v>
      </c>
      <c r="AJ8">
        <f t="shared" si="1"/>
        <v>33</v>
      </c>
      <c r="AK8">
        <f t="shared" si="1"/>
        <v>34</v>
      </c>
      <c r="AL8">
        <f>AK8+1</f>
        <v>35</v>
      </c>
      <c r="AM8">
        <f t="shared" ref="AM8:BK8" si="2">AL8+1</f>
        <v>36</v>
      </c>
      <c r="AN8">
        <f t="shared" si="2"/>
        <v>37</v>
      </c>
      <c r="AO8">
        <f t="shared" si="2"/>
        <v>38</v>
      </c>
      <c r="AP8">
        <f t="shared" si="2"/>
        <v>39</v>
      </c>
      <c r="AQ8">
        <f t="shared" si="2"/>
        <v>40</v>
      </c>
      <c r="AR8">
        <f t="shared" si="2"/>
        <v>41</v>
      </c>
      <c r="AS8">
        <f t="shared" si="2"/>
        <v>42</v>
      </c>
      <c r="AT8">
        <f t="shared" si="2"/>
        <v>43</v>
      </c>
      <c r="AU8">
        <f t="shared" si="2"/>
        <v>44</v>
      </c>
      <c r="AV8">
        <f t="shared" si="2"/>
        <v>45</v>
      </c>
      <c r="AW8">
        <f t="shared" si="2"/>
        <v>46</v>
      </c>
      <c r="AX8">
        <f t="shared" si="2"/>
        <v>47</v>
      </c>
      <c r="AY8">
        <f t="shared" si="2"/>
        <v>48</v>
      </c>
      <c r="AZ8">
        <f t="shared" si="2"/>
        <v>49</v>
      </c>
      <c r="BA8">
        <f t="shared" si="2"/>
        <v>50</v>
      </c>
      <c r="BB8">
        <f t="shared" si="2"/>
        <v>51</v>
      </c>
      <c r="BC8">
        <f t="shared" si="2"/>
        <v>52</v>
      </c>
      <c r="BD8">
        <f t="shared" si="2"/>
        <v>53</v>
      </c>
      <c r="BE8">
        <f t="shared" si="2"/>
        <v>54</v>
      </c>
      <c r="BF8">
        <f t="shared" si="2"/>
        <v>55</v>
      </c>
      <c r="BG8">
        <f t="shared" si="2"/>
        <v>56</v>
      </c>
      <c r="BH8">
        <f t="shared" si="2"/>
        <v>57</v>
      </c>
      <c r="BI8">
        <f t="shared" si="2"/>
        <v>58</v>
      </c>
      <c r="BJ8">
        <f t="shared" si="2"/>
        <v>59</v>
      </c>
      <c r="BK8">
        <f t="shared" si="2"/>
        <v>60</v>
      </c>
    </row>
    <row r="9" spans="1:63">
      <c r="A9" t="s">
        <v>189</v>
      </c>
      <c r="C9">
        <f>YEAR(C7)</f>
        <v>2024</v>
      </c>
      <c r="D9">
        <f t="shared" ref="D9:BK9" si="3">YEAR(D7)</f>
        <v>2024</v>
      </c>
      <c r="E9">
        <f t="shared" si="3"/>
        <v>2024</v>
      </c>
      <c r="F9">
        <f t="shared" si="3"/>
        <v>2024</v>
      </c>
      <c r="G9">
        <f t="shared" si="3"/>
        <v>2024</v>
      </c>
      <c r="H9">
        <f t="shared" si="3"/>
        <v>2024</v>
      </c>
      <c r="I9">
        <f t="shared" si="3"/>
        <v>2024</v>
      </c>
      <c r="J9">
        <f t="shared" si="3"/>
        <v>2024</v>
      </c>
      <c r="K9">
        <f t="shared" si="3"/>
        <v>2024</v>
      </c>
      <c r="L9">
        <f t="shared" si="3"/>
        <v>2024</v>
      </c>
      <c r="M9">
        <f t="shared" si="3"/>
        <v>2024</v>
      </c>
      <c r="N9">
        <f t="shared" si="3"/>
        <v>2024</v>
      </c>
      <c r="O9">
        <f t="shared" si="3"/>
        <v>2025</v>
      </c>
      <c r="P9">
        <f t="shared" si="3"/>
        <v>2025</v>
      </c>
      <c r="Q9">
        <f t="shared" si="3"/>
        <v>2025</v>
      </c>
      <c r="R9">
        <f t="shared" si="3"/>
        <v>2025</v>
      </c>
      <c r="S9">
        <f t="shared" si="3"/>
        <v>2025</v>
      </c>
      <c r="T9">
        <f t="shared" si="3"/>
        <v>2025</v>
      </c>
      <c r="U9">
        <f t="shared" si="3"/>
        <v>2025</v>
      </c>
      <c r="V9">
        <f t="shared" si="3"/>
        <v>2025</v>
      </c>
      <c r="W9">
        <f t="shared" si="3"/>
        <v>2025</v>
      </c>
      <c r="X9">
        <f t="shared" si="3"/>
        <v>2025</v>
      </c>
      <c r="Y9">
        <f t="shared" si="3"/>
        <v>2025</v>
      </c>
      <c r="Z9">
        <f t="shared" si="3"/>
        <v>2025</v>
      </c>
      <c r="AA9">
        <f t="shared" si="3"/>
        <v>2026</v>
      </c>
      <c r="AB9">
        <f t="shared" si="3"/>
        <v>2026</v>
      </c>
      <c r="AC9">
        <f t="shared" si="3"/>
        <v>2026</v>
      </c>
      <c r="AD9">
        <f t="shared" si="3"/>
        <v>2026</v>
      </c>
      <c r="AE9">
        <f t="shared" si="3"/>
        <v>2026</v>
      </c>
      <c r="AF9">
        <f t="shared" si="3"/>
        <v>2026</v>
      </c>
      <c r="AG9">
        <f t="shared" si="3"/>
        <v>2026</v>
      </c>
      <c r="AH9">
        <f t="shared" si="3"/>
        <v>2026</v>
      </c>
      <c r="AI9">
        <f t="shared" si="3"/>
        <v>2026</v>
      </c>
      <c r="AJ9">
        <f t="shared" si="3"/>
        <v>2026</v>
      </c>
      <c r="AK9">
        <f t="shared" si="3"/>
        <v>2026</v>
      </c>
      <c r="AL9">
        <f t="shared" si="3"/>
        <v>2026</v>
      </c>
      <c r="AM9">
        <f t="shared" si="3"/>
        <v>2027</v>
      </c>
      <c r="AN9">
        <f t="shared" si="3"/>
        <v>2027</v>
      </c>
      <c r="AO9">
        <f t="shared" si="3"/>
        <v>2027</v>
      </c>
      <c r="AP9">
        <f t="shared" si="3"/>
        <v>2027</v>
      </c>
      <c r="AQ9">
        <f t="shared" si="3"/>
        <v>2027</v>
      </c>
      <c r="AR9">
        <f t="shared" si="3"/>
        <v>2027</v>
      </c>
      <c r="AS9">
        <f t="shared" si="3"/>
        <v>2027</v>
      </c>
      <c r="AT9">
        <f t="shared" si="3"/>
        <v>2027</v>
      </c>
      <c r="AU9">
        <f t="shared" si="3"/>
        <v>2027</v>
      </c>
      <c r="AV9">
        <f t="shared" si="3"/>
        <v>2027</v>
      </c>
      <c r="AW9">
        <f t="shared" si="3"/>
        <v>2027</v>
      </c>
      <c r="AX9">
        <f t="shared" si="3"/>
        <v>2027</v>
      </c>
      <c r="AY9">
        <f t="shared" si="3"/>
        <v>2028</v>
      </c>
      <c r="AZ9">
        <f t="shared" si="3"/>
        <v>2028</v>
      </c>
      <c r="BA9">
        <f t="shared" si="3"/>
        <v>2028</v>
      </c>
      <c r="BB9">
        <f t="shared" si="3"/>
        <v>2028</v>
      </c>
      <c r="BC9">
        <f t="shared" si="3"/>
        <v>2028</v>
      </c>
      <c r="BD9">
        <f t="shared" si="3"/>
        <v>2028</v>
      </c>
      <c r="BE9">
        <f t="shared" si="3"/>
        <v>2028</v>
      </c>
      <c r="BF9">
        <f t="shared" si="3"/>
        <v>2028</v>
      </c>
      <c r="BG9">
        <f t="shared" si="3"/>
        <v>2028</v>
      </c>
      <c r="BH9">
        <f t="shared" si="3"/>
        <v>2028</v>
      </c>
      <c r="BI9">
        <f t="shared" si="3"/>
        <v>2028</v>
      </c>
      <c r="BJ9">
        <f t="shared" si="3"/>
        <v>2028</v>
      </c>
      <c r="BK9">
        <f t="shared" si="3"/>
        <v>2029</v>
      </c>
    </row>
    <row r="10" spans="1:63">
      <c r="A10" t="s">
        <v>190</v>
      </c>
      <c r="C10">
        <v>1</v>
      </c>
      <c r="D10">
        <f t="shared" ref="D10:BK10" si="4">ROUNDUP(D8/12,0)</f>
        <v>1</v>
      </c>
      <c r="E10">
        <f t="shared" si="4"/>
        <v>1</v>
      </c>
      <c r="F10">
        <f t="shared" si="4"/>
        <v>1</v>
      </c>
      <c r="G10">
        <f t="shared" si="4"/>
        <v>1</v>
      </c>
      <c r="H10">
        <f t="shared" si="4"/>
        <v>1</v>
      </c>
      <c r="I10">
        <f t="shared" si="4"/>
        <v>1</v>
      </c>
      <c r="J10">
        <f t="shared" si="4"/>
        <v>1</v>
      </c>
      <c r="K10">
        <f t="shared" si="4"/>
        <v>1</v>
      </c>
      <c r="L10">
        <f t="shared" si="4"/>
        <v>1</v>
      </c>
      <c r="M10">
        <f t="shared" si="4"/>
        <v>1</v>
      </c>
      <c r="N10">
        <f t="shared" si="4"/>
        <v>1</v>
      </c>
      <c r="O10">
        <f t="shared" si="4"/>
        <v>1</v>
      </c>
      <c r="P10">
        <f t="shared" si="4"/>
        <v>2</v>
      </c>
      <c r="Q10">
        <f t="shared" si="4"/>
        <v>2</v>
      </c>
      <c r="R10">
        <f t="shared" si="4"/>
        <v>2</v>
      </c>
      <c r="S10">
        <f t="shared" si="4"/>
        <v>2</v>
      </c>
      <c r="T10">
        <f t="shared" si="4"/>
        <v>2</v>
      </c>
      <c r="U10">
        <f t="shared" si="4"/>
        <v>2</v>
      </c>
      <c r="V10">
        <f t="shared" si="4"/>
        <v>2</v>
      </c>
      <c r="W10">
        <f t="shared" si="4"/>
        <v>2</v>
      </c>
      <c r="X10">
        <f t="shared" si="4"/>
        <v>2</v>
      </c>
      <c r="Y10">
        <f t="shared" si="4"/>
        <v>2</v>
      </c>
      <c r="Z10">
        <f t="shared" si="4"/>
        <v>2</v>
      </c>
      <c r="AA10">
        <f t="shared" si="4"/>
        <v>2</v>
      </c>
      <c r="AB10">
        <f t="shared" si="4"/>
        <v>3</v>
      </c>
      <c r="AC10">
        <f t="shared" si="4"/>
        <v>3</v>
      </c>
      <c r="AD10">
        <f t="shared" si="4"/>
        <v>3</v>
      </c>
      <c r="AE10">
        <f t="shared" si="4"/>
        <v>3</v>
      </c>
      <c r="AF10">
        <f t="shared" si="4"/>
        <v>3</v>
      </c>
      <c r="AG10">
        <f t="shared" si="4"/>
        <v>3</v>
      </c>
      <c r="AH10">
        <f t="shared" si="4"/>
        <v>3</v>
      </c>
      <c r="AI10">
        <f t="shared" si="4"/>
        <v>3</v>
      </c>
      <c r="AJ10">
        <f t="shared" si="4"/>
        <v>3</v>
      </c>
      <c r="AK10">
        <f t="shared" si="4"/>
        <v>3</v>
      </c>
      <c r="AL10">
        <f t="shared" si="4"/>
        <v>3</v>
      </c>
      <c r="AM10">
        <f t="shared" si="4"/>
        <v>3</v>
      </c>
      <c r="AN10">
        <f t="shared" si="4"/>
        <v>4</v>
      </c>
      <c r="AO10">
        <f t="shared" si="4"/>
        <v>4</v>
      </c>
      <c r="AP10">
        <f t="shared" si="4"/>
        <v>4</v>
      </c>
      <c r="AQ10">
        <f t="shared" si="4"/>
        <v>4</v>
      </c>
      <c r="AR10">
        <f t="shared" si="4"/>
        <v>4</v>
      </c>
      <c r="AS10">
        <f t="shared" si="4"/>
        <v>4</v>
      </c>
      <c r="AT10">
        <f t="shared" si="4"/>
        <v>4</v>
      </c>
      <c r="AU10">
        <f t="shared" si="4"/>
        <v>4</v>
      </c>
      <c r="AV10">
        <f t="shared" si="4"/>
        <v>4</v>
      </c>
      <c r="AW10">
        <f t="shared" si="4"/>
        <v>4</v>
      </c>
      <c r="AX10">
        <f t="shared" si="4"/>
        <v>4</v>
      </c>
      <c r="AY10">
        <f t="shared" si="4"/>
        <v>4</v>
      </c>
      <c r="AZ10">
        <f t="shared" si="4"/>
        <v>5</v>
      </c>
      <c r="BA10">
        <f t="shared" si="4"/>
        <v>5</v>
      </c>
      <c r="BB10">
        <f t="shared" si="4"/>
        <v>5</v>
      </c>
      <c r="BC10">
        <f t="shared" si="4"/>
        <v>5</v>
      </c>
      <c r="BD10">
        <f t="shared" si="4"/>
        <v>5</v>
      </c>
      <c r="BE10">
        <f t="shared" si="4"/>
        <v>5</v>
      </c>
      <c r="BF10">
        <f t="shared" si="4"/>
        <v>5</v>
      </c>
      <c r="BG10">
        <f t="shared" si="4"/>
        <v>5</v>
      </c>
      <c r="BH10">
        <f t="shared" si="4"/>
        <v>5</v>
      </c>
      <c r="BI10">
        <f t="shared" si="4"/>
        <v>5</v>
      </c>
      <c r="BJ10">
        <f t="shared" si="4"/>
        <v>5</v>
      </c>
      <c r="BK10">
        <f t="shared" si="4"/>
        <v>5</v>
      </c>
    </row>
    <row r="12" spans="1:63">
      <c r="A12" s="374" t="s">
        <v>191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</row>
    <row r="13" spans="1:63">
      <c r="A13" s="10" t="s">
        <v>192</v>
      </c>
    </row>
    <row r="14" spans="1:63">
      <c r="A14" s="2" t="s">
        <v>193</v>
      </c>
      <c r="B14" s="2"/>
      <c r="C14" s="46">
        <f>-Inputs!K74</f>
        <v>-5000000</v>
      </c>
      <c r="D14" s="2"/>
      <c r="E14" s="2"/>
      <c r="F14" s="2"/>
      <c r="G14" s="2"/>
    </row>
    <row r="15" spans="1:63" s="5" customFormat="1">
      <c r="A15" s="5" t="s">
        <v>194</v>
      </c>
      <c r="B15"/>
      <c r="C15" s="19">
        <f t="shared" ref="C15:AH15" si="5">SUM(C14:C14)</f>
        <v>-5000000</v>
      </c>
      <c r="D15" s="19">
        <f t="shared" si="5"/>
        <v>0</v>
      </c>
      <c r="E15" s="19">
        <f t="shared" si="5"/>
        <v>0</v>
      </c>
      <c r="F15" s="19">
        <f t="shared" si="5"/>
        <v>0</v>
      </c>
      <c r="G15" s="19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18">
        <f t="shared" si="5"/>
        <v>0</v>
      </c>
      <c r="L15" s="18">
        <f t="shared" si="5"/>
        <v>0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 t="shared" si="5"/>
        <v>0</v>
      </c>
      <c r="Q15" s="18">
        <f t="shared" si="5"/>
        <v>0</v>
      </c>
      <c r="R15" s="18">
        <f t="shared" si="5"/>
        <v>0</v>
      </c>
      <c r="S15" s="18">
        <f t="shared" si="5"/>
        <v>0</v>
      </c>
      <c r="T15" s="18">
        <f t="shared" si="5"/>
        <v>0</v>
      </c>
      <c r="U15" s="18">
        <f t="shared" si="5"/>
        <v>0</v>
      </c>
      <c r="V15" s="18">
        <f t="shared" si="5"/>
        <v>0</v>
      </c>
      <c r="W15" s="18">
        <f t="shared" si="5"/>
        <v>0</v>
      </c>
      <c r="X15" s="18">
        <f t="shared" si="5"/>
        <v>0</v>
      </c>
      <c r="Y15" s="18">
        <f t="shared" si="5"/>
        <v>0</v>
      </c>
      <c r="Z15" s="18">
        <f t="shared" si="5"/>
        <v>0</v>
      </c>
      <c r="AA15" s="18">
        <f t="shared" si="5"/>
        <v>0</v>
      </c>
      <c r="AB15" s="18">
        <f t="shared" si="5"/>
        <v>0</v>
      </c>
      <c r="AC15" s="18">
        <f t="shared" si="5"/>
        <v>0</v>
      </c>
      <c r="AD15" s="18">
        <f t="shared" si="5"/>
        <v>0</v>
      </c>
      <c r="AE15" s="18">
        <f t="shared" si="5"/>
        <v>0</v>
      </c>
      <c r="AF15" s="18">
        <f t="shared" si="5"/>
        <v>0</v>
      </c>
      <c r="AG15" s="18">
        <f t="shared" si="5"/>
        <v>0</v>
      </c>
      <c r="AH15" s="18">
        <f t="shared" si="5"/>
        <v>0</v>
      </c>
      <c r="AI15" s="18">
        <f t="shared" ref="AI15:BK15" si="6">SUM(AI14:AI14)</f>
        <v>0</v>
      </c>
      <c r="AJ15" s="18">
        <f t="shared" si="6"/>
        <v>0</v>
      </c>
      <c r="AK15" s="18">
        <f t="shared" si="6"/>
        <v>0</v>
      </c>
      <c r="AL15" s="18">
        <f t="shared" si="6"/>
        <v>0</v>
      </c>
      <c r="AM15" s="18">
        <f t="shared" si="6"/>
        <v>0</v>
      </c>
      <c r="AN15" s="18">
        <f t="shared" si="6"/>
        <v>0</v>
      </c>
      <c r="AO15" s="18">
        <f t="shared" si="6"/>
        <v>0</v>
      </c>
      <c r="AP15" s="18">
        <f t="shared" si="6"/>
        <v>0</v>
      </c>
      <c r="AQ15" s="18">
        <f t="shared" si="6"/>
        <v>0</v>
      </c>
      <c r="AR15" s="18">
        <f t="shared" si="6"/>
        <v>0</v>
      </c>
      <c r="AS15" s="18">
        <f t="shared" si="6"/>
        <v>0</v>
      </c>
      <c r="AT15" s="18">
        <f t="shared" si="6"/>
        <v>0</v>
      </c>
      <c r="AU15" s="18">
        <f t="shared" si="6"/>
        <v>0</v>
      </c>
      <c r="AV15" s="18">
        <f t="shared" si="6"/>
        <v>0</v>
      </c>
      <c r="AW15" s="18">
        <f t="shared" si="6"/>
        <v>0</v>
      </c>
      <c r="AX15" s="18">
        <f t="shared" si="6"/>
        <v>0</v>
      </c>
      <c r="AY15" s="18">
        <f t="shared" si="6"/>
        <v>0</v>
      </c>
      <c r="AZ15" s="18">
        <f t="shared" si="6"/>
        <v>0</v>
      </c>
      <c r="BA15" s="18">
        <f t="shared" si="6"/>
        <v>0</v>
      </c>
      <c r="BB15" s="18">
        <f t="shared" si="6"/>
        <v>0</v>
      </c>
      <c r="BC15" s="18">
        <f t="shared" si="6"/>
        <v>0</v>
      </c>
      <c r="BD15" s="18">
        <f t="shared" si="6"/>
        <v>0</v>
      </c>
      <c r="BE15" s="18">
        <f t="shared" si="6"/>
        <v>0</v>
      </c>
      <c r="BF15" s="18">
        <f t="shared" si="6"/>
        <v>0</v>
      </c>
      <c r="BG15" s="18">
        <f t="shared" si="6"/>
        <v>0</v>
      </c>
      <c r="BH15" s="18">
        <f t="shared" si="6"/>
        <v>0</v>
      </c>
      <c r="BI15" s="18">
        <f t="shared" si="6"/>
        <v>0</v>
      </c>
      <c r="BJ15" s="18">
        <f t="shared" si="6"/>
        <v>0</v>
      </c>
      <c r="BK15" s="18">
        <f t="shared" si="6"/>
        <v>0</v>
      </c>
    </row>
    <row r="16" spans="1:63" s="5" customFormat="1">
      <c r="C16" s="19"/>
      <c r="D16" s="19"/>
      <c r="E16" s="19"/>
      <c r="F16" s="19"/>
      <c r="G16" s="19"/>
      <c r="H16" s="19"/>
      <c r="I16" s="19"/>
      <c r="J16" s="19"/>
      <c r="K16" s="4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s="5" customFormat="1">
      <c r="A17" s="5" t="s">
        <v>195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>
      <c r="A18" s="11" t="s">
        <v>196</v>
      </c>
      <c r="C18" s="58">
        <f>IF(C8=Inputs!$K$91,Inputs!$I$33,IF(AND(C8&gt;Inputs!$K$91,C8&lt;=Inputs!$K$92),(1-Inputs!$I$33)/(Inputs!$K$92-Inputs!$K$91),0))</f>
        <v>0</v>
      </c>
      <c r="D18" s="58">
        <f>IF(D8=Inputs!$K$91,Inputs!$I$33,IF(AND(D8&gt;Inputs!$K$91,D8&lt;=Inputs!$K$92),(1-Inputs!$I$33)/(Inputs!$K$92-Inputs!$K$91),0))</f>
        <v>0</v>
      </c>
      <c r="E18" s="58">
        <f>IF(E8=Inputs!$K$91,Inputs!$I$33,IF(AND(E8&gt;Inputs!$K$91,E8&lt;=Inputs!$K$92),(1-Inputs!$I$33)/(Inputs!$K$92-Inputs!$K$91),0))</f>
        <v>0</v>
      </c>
      <c r="F18" s="58">
        <f>IF(F8=Inputs!$K$91,Inputs!$I$33,IF(AND(F8&gt;Inputs!$K$91,F8&lt;=Inputs!$K$92),(1-Inputs!$I$33)/(Inputs!$K$92-Inputs!$K$91),0))</f>
        <v>0</v>
      </c>
      <c r="G18" s="58">
        <f>IF(G8=Inputs!$K$91,Inputs!$I$33,IF(AND(G8&gt;Inputs!$K$91,G8&lt;=Inputs!$K$92),(1-Inputs!$I$33)/(Inputs!$K$92-Inputs!$K$91),0))</f>
        <v>0</v>
      </c>
      <c r="H18" s="58">
        <f>IF(H8=Inputs!$K$91,Inputs!$I$33,IF(AND(H8&gt;Inputs!$K$91,H8&lt;=Inputs!$K$92),(1-Inputs!$I$33)/(Inputs!$K$92-Inputs!$K$91),0))</f>
        <v>0</v>
      </c>
      <c r="I18" s="58">
        <f>IF(I8=Inputs!$K$91,Inputs!$I$33,IF(AND(I8&gt;Inputs!$K$91,I8&lt;=Inputs!$K$92),(1-Inputs!$I$33)/(Inputs!$K$92-Inputs!$K$91),0))</f>
        <v>0</v>
      </c>
      <c r="J18" s="58">
        <f>IF(J8=Inputs!$K$91,Inputs!$I$33,IF(AND(J8&gt;Inputs!$K$91,J8&lt;=Inputs!$K$92),(1-Inputs!$I$33)/(Inputs!$K$92-Inputs!$K$91),0))</f>
        <v>0</v>
      </c>
      <c r="K18" s="58">
        <f>IF(K8=Inputs!$K$91,Inputs!$I$33,IF(AND(K8&gt;Inputs!$K$91,K8&lt;=Inputs!$K$92),(1-Inputs!$I$33)/(Inputs!$K$92-Inputs!$K$91),0))</f>
        <v>0.25</v>
      </c>
      <c r="L18" s="58">
        <f>IF(L8=Inputs!$K$91,Inputs!$I$33,IF(AND(L8&gt;Inputs!$K$91,L8&lt;=Inputs!$K$92),(1-Inputs!$I$33)/(Inputs!$K$92-Inputs!$K$91),0))</f>
        <v>0.15</v>
      </c>
      <c r="M18" s="58">
        <f>IF(M8=Inputs!$K$91,Inputs!$I$33,IF(AND(M8&gt;Inputs!$K$91,M8&lt;=Inputs!$K$92),(1-Inputs!$I$33)/(Inputs!$K$92-Inputs!$K$91),0))</f>
        <v>0.15</v>
      </c>
      <c r="N18" s="58">
        <f>IF(N8=Inputs!$K$91,Inputs!$I$33,IF(AND(N8&gt;Inputs!$K$91,N8&lt;=Inputs!$K$92),(1-Inputs!$I$33)/(Inputs!$K$92-Inputs!$K$91),0))</f>
        <v>0.15</v>
      </c>
      <c r="O18" s="58">
        <f>IF(O8=Inputs!$K$91,Inputs!$I$33,IF(AND(O8&gt;Inputs!$K$91,O8&lt;=Inputs!$K$92),(1-Inputs!$I$33)/(Inputs!$K$92-Inputs!$K$91),0))</f>
        <v>0.15</v>
      </c>
      <c r="P18" s="58">
        <f>IF(P8=Inputs!$K$91,Inputs!$I$33,IF(AND(P8&gt;Inputs!$K$91,P8&lt;=Inputs!$K$92),(1-Inputs!$I$33)/(Inputs!$K$92-Inputs!$K$91),0))</f>
        <v>0.15</v>
      </c>
      <c r="Q18" s="58">
        <f>IF(Q8=Inputs!$K$91,Inputs!$I$33,IF(AND(Q8&gt;Inputs!$K$91,Q8&lt;=Inputs!$K$92),(1-Inputs!$I$33)/(Inputs!$K$92-Inputs!$K$91),0))</f>
        <v>0</v>
      </c>
      <c r="R18" s="58">
        <f>IF(R8=Inputs!$K$91,Inputs!$I$33,IF(AND(R8&gt;Inputs!$K$91,R8&lt;=Inputs!$K$92),(1-Inputs!$I$33)/(Inputs!$K$92-Inputs!$K$91),0))</f>
        <v>0</v>
      </c>
      <c r="S18" s="58">
        <f>IF(S8=Inputs!$K$91,Inputs!$I$33,IF(AND(S8&gt;Inputs!$K$91,S8&lt;=Inputs!$K$92),(1-Inputs!$I$33)/(Inputs!$K$92-Inputs!$K$91),0))</f>
        <v>0</v>
      </c>
      <c r="T18" s="58">
        <f>IF(T8=Inputs!$K$91,Inputs!$I$33,IF(AND(T8&gt;Inputs!$K$91,T8&lt;=Inputs!$K$92),(1-Inputs!$I$33)/(Inputs!$K$92-Inputs!$K$91),0))</f>
        <v>0</v>
      </c>
      <c r="U18" s="58">
        <f>IF(U8=Inputs!$K$91,Inputs!$I$33,IF(AND(U8&gt;Inputs!$K$91,U8&lt;=Inputs!$K$92),(1-Inputs!$I$33)/(Inputs!$K$92-Inputs!$K$91),0))</f>
        <v>0</v>
      </c>
      <c r="V18" s="58">
        <f>IF(V8=Inputs!$K$91,Inputs!$I$33,IF(AND(V8&gt;Inputs!$K$91,V8&lt;=Inputs!$K$92),(1-Inputs!$I$33)/(Inputs!$K$92-Inputs!$K$91),0))</f>
        <v>0</v>
      </c>
      <c r="W18" s="58">
        <f>IF(W8=Inputs!$K$91,Inputs!$I$33,IF(AND(W8&gt;Inputs!$K$91,W8&lt;=Inputs!$K$92),(1-Inputs!$I$33)/(Inputs!$K$92-Inputs!$K$91),0))</f>
        <v>0</v>
      </c>
      <c r="X18" s="58">
        <f>IF(X8=Inputs!$K$91,Inputs!$I$33,IF(AND(X8&gt;Inputs!$K$91,X8&lt;=Inputs!$K$92),(1-Inputs!$I$33)/(Inputs!$K$92-Inputs!$K$91),0))</f>
        <v>0</v>
      </c>
      <c r="Y18" s="58">
        <f>IF(Y8=Inputs!$K$91,Inputs!$I$33,IF(AND(Y8&gt;Inputs!$K$91,Y8&lt;=Inputs!$K$92),(1-Inputs!$I$33)/(Inputs!$K$92-Inputs!$K$91),0))</f>
        <v>0</v>
      </c>
      <c r="Z18" s="58">
        <f>IF(Z8=Inputs!$K$91,Inputs!$I$33,IF(AND(Z8&gt;Inputs!$K$91,Z8&lt;=Inputs!$K$92),(1-Inputs!$I$33)/(Inputs!$K$92-Inputs!$K$91),0))</f>
        <v>0</v>
      </c>
      <c r="AA18" s="58">
        <f>IF(AA8=Inputs!$K$91,Inputs!$I$33,IF(AND(AA8&gt;Inputs!$K$91,AA8&lt;=Inputs!$K$92),(1-Inputs!$I$33)/(Inputs!$K$92-Inputs!$K$91),0))</f>
        <v>0</v>
      </c>
      <c r="AB18" s="58">
        <f>IF(AB8=Inputs!$K$91,Inputs!$I$33,IF(AND(AB8&gt;Inputs!$K$91,AB8&lt;=Inputs!$K$92),(1-Inputs!$I$33)/(Inputs!$K$92-Inputs!$K$91),0))</f>
        <v>0</v>
      </c>
      <c r="AC18" s="58">
        <f>IF(AC8=Inputs!$K$91,Inputs!$I$33,IF(AND(AC8&gt;Inputs!$K$91,AC8&lt;=Inputs!$K$92),(1-Inputs!$I$33)/(Inputs!$K$92-Inputs!$K$91),0))</f>
        <v>0</v>
      </c>
      <c r="AD18" s="58">
        <f>IF(AD8=Inputs!$K$91,Inputs!$I$33,IF(AND(AD8&gt;Inputs!$K$91,AD8&lt;=Inputs!$K$92),(1-Inputs!$I$33)/(Inputs!$K$92-Inputs!$K$91),0))</f>
        <v>0</v>
      </c>
      <c r="AE18" s="58">
        <f>IF(AE8=Inputs!$K$91,Inputs!$I$33,IF(AND(AE8&gt;Inputs!$K$91,AE8&lt;=Inputs!$K$92),(1-Inputs!$I$33)/(Inputs!$K$92-Inputs!$K$91),0))</f>
        <v>0</v>
      </c>
      <c r="AF18" s="58">
        <f>IF(AF8=Inputs!$K$91,Inputs!$I$33,IF(AND(AF8&gt;Inputs!$K$91,AF8&lt;=Inputs!$K$92),(1-Inputs!$I$33)/(Inputs!$K$92-Inputs!$K$91),0))</f>
        <v>0</v>
      </c>
      <c r="AG18" s="58">
        <f>IF(AG8=Inputs!$K$91,Inputs!$I$33,IF(AND(AG8&gt;Inputs!$K$91,AG8&lt;=Inputs!$K$92),(1-Inputs!$I$33)/(Inputs!$K$92-Inputs!$K$91),0))</f>
        <v>0</v>
      </c>
      <c r="AH18" s="58">
        <f>IF(AH8=Inputs!$K$91,Inputs!$I$33,IF(AND(AH8&gt;Inputs!$K$91,AH8&lt;=Inputs!$K$92),(1-Inputs!$I$33)/(Inputs!$K$92-Inputs!$K$91),0))</f>
        <v>0</v>
      </c>
      <c r="AI18" s="58">
        <f>IF(AI8=Inputs!$K$91,Inputs!$I$33,IF(AND(AI8&gt;Inputs!$K$91,AI8&lt;=Inputs!$K$92),(1-Inputs!$I$33)/(Inputs!$K$92-Inputs!$K$91),0))</f>
        <v>0</v>
      </c>
      <c r="AJ18" s="58">
        <f>IF(AJ8=Inputs!$K$91,Inputs!$I$33,IF(AND(AJ8&gt;Inputs!$K$91,AJ8&lt;=Inputs!$K$92),(1-Inputs!$I$33)/(Inputs!$K$92-Inputs!$K$91),0))</f>
        <v>0</v>
      </c>
      <c r="AK18" s="58">
        <f>IF(AK8=Inputs!$K$91,Inputs!$I$33,IF(AND(AK8&gt;Inputs!$K$91,AK8&lt;=Inputs!$K$92),(1-Inputs!$I$33)/(Inputs!$K$92-Inputs!$K$91),0))</f>
        <v>0</v>
      </c>
      <c r="AL18" s="58">
        <f>IF(AL8=Inputs!$K$91,Inputs!$I$33,IF(AND(AL8&gt;Inputs!$K$91,AL8&lt;=Inputs!$K$92),(1-Inputs!$I$33)/(Inputs!$K$92-Inputs!$K$91),0))</f>
        <v>0</v>
      </c>
      <c r="AM18" s="58">
        <f>IF(AM8=Inputs!$K$91,Inputs!$I$33,IF(AND(AM8&gt;Inputs!$K$91,AM8&lt;=Inputs!$K$92),(1-Inputs!$I$33)/(Inputs!$K$92-Inputs!$K$91),0))</f>
        <v>0</v>
      </c>
      <c r="AN18" s="58">
        <f>IF(AN8=Inputs!$K$91,Inputs!$I$33,IF(AND(AN8&gt;Inputs!$K$91,AN8&lt;=Inputs!$K$92),(1-Inputs!$I$33)/(Inputs!$K$92-Inputs!$K$91),0))</f>
        <v>0</v>
      </c>
      <c r="AO18" s="58">
        <f>IF(AO8=Inputs!$K$91,Inputs!$I$33,IF(AND(AO8&gt;Inputs!$K$91,AO8&lt;=Inputs!$K$92),(1-Inputs!$I$33)/(Inputs!$K$92-Inputs!$K$91),0))</f>
        <v>0</v>
      </c>
      <c r="AP18" s="58">
        <f>IF(AP8=Inputs!$K$91,Inputs!$I$33,IF(AND(AP8&gt;Inputs!$K$91,AP8&lt;=Inputs!$K$92),(1-Inputs!$I$33)/(Inputs!$K$92-Inputs!$K$91),0))</f>
        <v>0</v>
      </c>
      <c r="AQ18" s="58">
        <f>IF(AQ8=Inputs!$K$91,Inputs!$I$33,IF(AND(AQ8&gt;Inputs!$K$91,AQ8&lt;=Inputs!$K$92),(1-Inputs!$I$33)/(Inputs!$K$92-Inputs!$K$91),0))</f>
        <v>0</v>
      </c>
      <c r="AR18" s="58">
        <f>IF(AR8=Inputs!$K$91,Inputs!$I$33,IF(AND(AR8&gt;Inputs!$K$91,AR8&lt;=Inputs!$K$92),(1-Inputs!$I$33)/(Inputs!$K$92-Inputs!$K$91),0))</f>
        <v>0</v>
      </c>
      <c r="AS18" s="58">
        <f>IF(AS8=Inputs!$K$91,Inputs!$I$33,IF(AND(AS8&gt;Inputs!$K$91,AS8&lt;=Inputs!$K$92),(1-Inputs!$I$33)/(Inputs!$K$92-Inputs!$K$91),0))</f>
        <v>0</v>
      </c>
      <c r="AT18" s="58">
        <f>IF(AT8=Inputs!$K$91,Inputs!$I$33,IF(AND(AT8&gt;Inputs!$K$91,AT8&lt;=Inputs!$K$92),(1-Inputs!$I$33)/(Inputs!$K$92-Inputs!$K$91),0))</f>
        <v>0</v>
      </c>
      <c r="AU18" s="58">
        <f>IF(AU8=Inputs!$K$91,Inputs!$I$33,IF(AND(AU8&gt;Inputs!$K$91,AU8&lt;=Inputs!$K$92),(1-Inputs!$I$33)/(Inputs!$K$92-Inputs!$K$91),0))</f>
        <v>0</v>
      </c>
      <c r="AV18" s="58">
        <f>IF(AV8=Inputs!$K$91,Inputs!$I$33,IF(AND(AV8&gt;Inputs!$K$91,AV8&lt;=Inputs!$K$92),(1-Inputs!$I$33)/(Inputs!$K$92-Inputs!$K$91),0))</f>
        <v>0</v>
      </c>
      <c r="AW18" s="58">
        <f>IF(AW8=Inputs!$K$91,Inputs!$I$33,IF(AND(AW8&gt;Inputs!$K$91,AW8&lt;=Inputs!$K$92),(1-Inputs!$I$33)/(Inputs!$K$92-Inputs!$K$91),0))</f>
        <v>0</v>
      </c>
      <c r="AX18" s="58">
        <f>IF(AX8=Inputs!$K$91,Inputs!$I$33,IF(AND(AX8&gt;Inputs!$K$91,AX8&lt;=Inputs!$K$92),(1-Inputs!$I$33)/(Inputs!$K$92-Inputs!$K$91),0))</f>
        <v>0</v>
      </c>
      <c r="AY18" s="58">
        <f>IF(AY8=Inputs!$K$91,Inputs!$I$33,IF(AND(AY8&gt;Inputs!$K$91,AY8&lt;=Inputs!$K$92),(1-Inputs!$I$33)/(Inputs!$K$92-Inputs!$K$91),0))</f>
        <v>0</v>
      </c>
      <c r="AZ18" s="58">
        <f>IF(AZ8=Inputs!$K$91,Inputs!$I$33,IF(AND(AZ8&gt;Inputs!$K$91,AZ8&lt;=Inputs!$K$92),(1-Inputs!$I$33)/(Inputs!$K$92-Inputs!$K$91),0))</f>
        <v>0</v>
      </c>
      <c r="BA18" s="58">
        <f>IF(BA8=Inputs!$K$91,Inputs!$I$33,IF(AND(BA8&gt;Inputs!$K$91,BA8&lt;=Inputs!$K$92),(1-Inputs!$I$33)/(Inputs!$K$92-Inputs!$K$91),0))</f>
        <v>0</v>
      </c>
      <c r="BB18" s="58">
        <f>IF(BB8=Inputs!$K$91,Inputs!$I$33,IF(AND(BB8&gt;Inputs!$K$91,BB8&lt;=Inputs!$K$92),(1-Inputs!$I$33)/(Inputs!$K$92-Inputs!$K$91),0))</f>
        <v>0</v>
      </c>
      <c r="BC18" s="58">
        <f>IF(BC8=Inputs!$K$91,Inputs!$I$33,IF(AND(BC8&gt;Inputs!$K$91,BC8&lt;=Inputs!$K$92),(1-Inputs!$I$33)/(Inputs!$K$92-Inputs!$K$91),0))</f>
        <v>0</v>
      </c>
      <c r="BD18" s="58">
        <f>IF(BD8=Inputs!$K$91,Inputs!$I$33,IF(AND(BD8&gt;Inputs!$K$91,BD8&lt;=Inputs!$K$92),(1-Inputs!$I$33)/(Inputs!$K$92-Inputs!$K$91),0))</f>
        <v>0</v>
      </c>
      <c r="BE18" s="58">
        <f>IF(BE8=Inputs!$K$91,Inputs!$I$33,IF(AND(BE8&gt;Inputs!$K$91,BE8&lt;=Inputs!$K$92),(1-Inputs!$I$33)/(Inputs!$K$92-Inputs!$K$91),0))</f>
        <v>0</v>
      </c>
      <c r="BF18" s="58">
        <f>IF(BF8=Inputs!$K$91,Inputs!$I$33,IF(AND(BF8&gt;Inputs!$K$91,BF8&lt;=Inputs!$K$92),(1-Inputs!$I$33)/(Inputs!$K$92-Inputs!$K$91),0))</f>
        <v>0</v>
      </c>
      <c r="BG18" s="58">
        <f>IF(BG8=Inputs!$K$91,Inputs!$I$33,IF(AND(BG8&gt;Inputs!$K$91,BG8&lt;=Inputs!$K$92),(1-Inputs!$I$33)/(Inputs!$K$92-Inputs!$K$91),0))</f>
        <v>0</v>
      </c>
      <c r="BH18" s="58">
        <f>IF(BH8=Inputs!$K$91,Inputs!$I$33,IF(AND(BH8&gt;Inputs!$K$91,BH8&lt;=Inputs!$K$92),(1-Inputs!$I$33)/(Inputs!$K$92-Inputs!$K$91),0))</f>
        <v>0</v>
      </c>
      <c r="BI18" s="58">
        <f>IF(BI8=Inputs!$K$91,Inputs!$I$33,IF(AND(BI8&gt;Inputs!$K$91,BI8&lt;=Inputs!$K$92),(1-Inputs!$I$33)/(Inputs!$K$92-Inputs!$K$91),0))</f>
        <v>0</v>
      </c>
      <c r="BJ18" s="58">
        <f>IF(BJ8=Inputs!$K$91,Inputs!$I$33,IF(AND(BJ8&gt;Inputs!$K$91,BJ8&lt;=Inputs!$K$92),(1-Inputs!$I$33)/(Inputs!$K$92-Inputs!$K$91),0))</f>
        <v>0</v>
      </c>
      <c r="BK18" s="58">
        <f>IF(BK8=Inputs!$K$91,Inputs!$I$33,IF(AND(BK8&gt;Inputs!$K$91,BK8&lt;=Inputs!$K$92),(1-Inputs!$I$33)/(Inputs!$K$92-Inputs!$K$91),0))</f>
        <v>0</v>
      </c>
    </row>
    <row r="19" spans="1:63">
      <c r="A19" s="11" t="s">
        <v>197</v>
      </c>
      <c r="C19" s="59">
        <f>-C18*Inputs!$K$33</f>
        <v>0</v>
      </c>
      <c r="D19" s="59">
        <f>-D18*Inputs!$K$33</f>
        <v>0</v>
      </c>
      <c r="E19" s="59">
        <f>-E18*Inputs!$K$33</f>
        <v>0</v>
      </c>
      <c r="F19" s="59">
        <f>-F18*Inputs!$K$33</f>
        <v>0</v>
      </c>
      <c r="G19" s="59">
        <f>-G18*Inputs!$K$33</f>
        <v>0</v>
      </c>
      <c r="H19" s="59">
        <f>-H18*Inputs!$K$33</f>
        <v>0</v>
      </c>
      <c r="I19" s="59">
        <f>-I18*Inputs!$K$33</f>
        <v>0</v>
      </c>
      <c r="J19" s="59">
        <f>-J18*Inputs!$K$33</f>
        <v>0</v>
      </c>
      <c r="K19" s="59">
        <f>-K18*Inputs!$K$33</f>
        <v>-3150000</v>
      </c>
      <c r="L19" s="59">
        <f>-L18*Inputs!$K$33</f>
        <v>-1890000</v>
      </c>
      <c r="M19" s="59">
        <f>-M18*Inputs!$K$33</f>
        <v>-1890000</v>
      </c>
      <c r="N19" s="59">
        <f>-N18*Inputs!$K$33</f>
        <v>-1890000</v>
      </c>
      <c r="O19" s="59">
        <f>-O18*Inputs!$K$33</f>
        <v>-1890000</v>
      </c>
      <c r="P19" s="59">
        <f>-P18*Inputs!$K$33</f>
        <v>-1890000</v>
      </c>
      <c r="Q19" s="59">
        <f>-Q18*Inputs!$K$33</f>
        <v>0</v>
      </c>
      <c r="R19" s="59">
        <f>-R18*Inputs!$K$33</f>
        <v>0</v>
      </c>
      <c r="S19" s="59">
        <f>-S18*Inputs!$K$33</f>
        <v>0</v>
      </c>
      <c r="T19" s="59">
        <f>-T18*Inputs!$K$33</f>
        <v>0</v>
      </c>
      <c r="U19" s="59">
        <f>-U18*Inputs!$K$33</f>
        <v>0</v>
      </c>
      <c r="V19" s="59">
        <f>-V18*Inputs!$K$33</f>
        <v>0</v>
      </c>
      <c r="W19" s="59">
        <f>-W18*Inputs!$K$33</f>
        <v>0</v>
      </c>
      <c r="X19" s="59">
        <f>-X18*Inputs!$K$33</f>
        <v>0</v>
      </c>
      <c r="Y19" s="59">
        <f>-Y18*Inputs!$K$33</f>
        <v>0</v>
      </c>
      <c r="Z19" s="59">
        <f>-Z18*Inputs!$K$33</f>
        <v>0</v>
      </c>
      <c r="AA19" s="59">
        <f>-AA18*Inputs!$K$33</f>
        <v>0</v>
      </c>
      <c r="AB19" s="59">
        <f>-AB18*Inputs!$K$33</f>
        <v>0</v>
      </c>
      <c r="AC19" s="59">
        <f>-AC18*Inputs!$K$33</f>
        <v>0</v>
      </c>
      <c r="AD19" s="59">
        <f>-AD18*Inputs!$K$33</f>
        <v>0</v>
      </c>
      <c r="AE19" s="59">
        <f>-AE18*Inputs!$K$33</f>
        <v>0</v>
      </c>
      <c r="AF19" s="59">
        <f>-AF18*Inputs!$K$33</f>
        <v>0</v>
      </c>
      <c r="AG19" s="59">
        <f>-AG18*Inputs!$K$33</f>
        <v>0</v>
      </c>
      <c r="AH19" s="59">
        <f>-AH18*Inputs!$K$33</f>
        <v>0</v>
      </c>
      <c r="AI19" s="59">
        <f>-AI18*Inputs!$K$33</f>
        <v>0</v>
      </c>
      <c r="AJ19" s="59">
        <f>-AJ18*Inputs!$K$33</f>
        <v>0</v>
      </c>
      <c r="AK19" s="59">
        <f>-AK18*Inputs!$K$33</f>
        <v>0</v>
      </c>
      <c r="AL19" s="59">
        <f>-AL18*Inputs!$K$33</f>
        <v>0</v>
      </c>
      <c r="AM19" s="59">
        <f>-AM18*Inputs!$K$33</f>
        <v>0</v>
      </c>
      <c r="AN19" s="59">
        <f>-AN18*Inputs!$K$33</f>
        <v>0</v>
      </c>
      <c r="AO19" s="59">
        <f>-AO18*Inputs!$K$33</f>
        <v>0</v>
      </c>
      <c r="AP19" s="59">
        <f>-AP18*Inputs!$K$33</f>
        <v>0</v>
      </c>
      <c r="AQ19" s="59">
        <f>-AQ18*Inputs!$K$33</f>
        <v>0</v>
      </c>
      <c r="AR19" s="59">
        <f>-AR18*Inputs!$K$33</f>
        <v>0</v>
      </c>
      <c r="AS19" s="59">
        <f>-AS18*Inputs!$K$33</f>
        <v>0</v>
      </c>
      <c r="AT19" s="59">
        <f>-AT18*Inputs!$K$33</f>
        <v>0</v>
      </c>
      <c r="AU19" s="59">
        <f>-AU18*Inputs!$K$33</f>
        <v>0</v>
      </c>
      <c r="AV19" s="59">
        <f>-AV18*Inputs!$K$33</f>
        <v>0</v>
      </c>
      <c r="AW19" s="59">
        <f>-AW18*Inputs!$K$33</f>
        <v>0</v>
      </c>
      <c r="AX19" s="59">
        <f>-AX18*Inputs!$K$33</f>
        <v>0</v>
      </c>
      <c r="AY19" s="59">
        <f>-AY18*Inputs!$K$33</f>
        <v>0</v>
      </c>
      <c r="AZ19" s="59">
        <f>-AZ18*Inputs!$K$33</f>
        <v>0</v>
      </c>
      <c r="BA19" s="59">
        <f>-BA18*Inputs!$K$33</f>
        <v>0</v>
      </c>
      <c r="BB19" s="59">
        <f>-BB18*Inputs!$K$33</f>
        <v>0</v>
      </c>
      <c r="BC19" s="59">
        <f>-BC18*Inputs!$K$33</f>
        <v>0</v>
      </c>
      <c r="BD19" s="59">
        <f>-BD18*Inputs!$K$33</f>
        <v>0</v>
      </c>
      <c r="BE19" s="59">
        <f>-BE18*Inputs!$K$33</f>
        <v>0</v>
      </c>
      <c r="BF19" s="59">
        <f>-BF18*Inputs!$K$33</f>
        <v>0</v>
      </c>
      <c r="BG19" s="59">
        <f>-BG18*Inputs!$K$33</f>
        <v>0</v>
      </c>
      <c r="BH19" s="59">
        <f>-BH18*Inputs!$K$33</f>
        <v>0</v>
      </c>
      <c r="BI19" s="59">
        <f>-BI18*Inputs!$K$33</f>
        <v>0</v>
      </c>
      <c r="BJ19" s="59">
        <f>-BJ18*Inputs!$K$33</f>
        <v>0</v>
      </c>
      <c r="BK19" s="59">
        <f>-BK18*Inputs!$K$33</f>
        <v>0</v>
      </c>
    </row>
    <row r="20" spans="1:63" s="5" customFormat="1">
      <c r="A20" s="11" t="s">
        <v>198</v>
      </c>
      <c r="B20" s="48">
        <f>SUM(C20:BK20)</f>
        <v>1</v>
      </c>
      <c r="C20" s="22">
        <f>IF(AND(C8&gt;=Inputs!$K$89,C8&lt;=Inputs!$K$93),1/Inputs!$J$13,0)</f>
        <v>0</v>
      </c>
      <c r="D20" s="22">
        <f>IF(AND(D8&gt;=Inputs!$K$89,D8&lt;=Inputs!$K$93),1/Inputs!$J$13,0)</f>
        <v>0</v>
      </c>
      <c r="E20" s="22">
        <f>IF(AND(E8&gt;=Inputs!$K$89,E8&lt;=Inputs!$K$93),1/Inputs!$J$13,0)</f>
        <v>0</v>
      </c>
      <c r="F20" s="22">
        <f>IF(AND(F8&gt;=Inputs!$K$89,F8&lt;=Inputs!$K$93),1/Inputs!$J$13,0)</f>
        <v>0</v>
      </c>
      <c r="G20" s="22">
        <f>IF(AND(G8&gt;=Inputs!$K$89,G8&lt;=Inputs!$K$93),1/Inputs!$J$13,0)</f>
        <v>0</v>
      </c>
      <c r="H20" s="22">
        <f>IF(AND(H8&gt;=Inputs!$K$89,H8&lt;=Inputs!$K$93),1/Inputs!$J$13,0)</f>
        <v>0</v>
      </c>
      <c r="I20" s="22">
        <f>IF(AND(I8&gt;=Inputs!$K$89,I8&lt;=Inputs!$K$93),1/Inputs!$J$13,0)</f>
        <v>0</v>
      </c>
      <c r="J20" s="22">
        <f>IF(AND(J8&gt;=Inputs!$K$89,J8&lt;=Inputs!$K$93),1/Inputs!$J$13,0)</f>
        <v>8.3333333333333329E-2</v>
      </c>
      <c r="K20" s="22">
        <f>IF(AND(K8&gt;=Inputs!$K$89,K8&lt;=Inputs!$K$93),1/Inputs!$J$13,0)</f>
        <v>8.3333333333333329E-2</v>
      </c>
      <c r="L20" s="22">
        <f>IF(AND(L8&gt;=Inputs!$K$89,L8&lt;=Inputs!$K$93),1/Inputs!$J$13,0)</f>
        <v>8.3333333333333329E-2</v>
      </c>
      <c r="M20" s="22">
        <f>IF(AND(M8&gt;=Inputs!$K$89,M8&lt;=Inputs!$K$93),1/Inputs!$J$13,0)</f>
        <v>8.3333333333333329E-2</v>
      </c>
      <c r="N20" s="22">
        <f>IF(AND(N8&gt;=Inputs!$K$89,N8&lt;=Inputs!$K$93),1/Inputs!$J$13,0)</f>
        <v>8.3333333333333329E-2</v>
      </c>
      <c r="O20" s="22">
        <f>IF(AND(O8&gt;=Inputs!$K$89,O8&lt;=Inputs!$K$93),1/Inputs!$J$13,0)</f>
        <v>8.3333333333333329E-2</v>
      </c>
      <c r="P20" s="22">
        <f>IF(AND(P8&gt;=Inputs!$K$89,P8&lt;=Inputs!$K$93),1/Inputs!$J$13,0)</f>
        <v>8.3333333333333329E-2</v>
      </c>
      <c r="Q20" s="22">
        <f>IF(AND(Q8&gt;=Inputs!$K$89,Q8&lt;=Inputs!$K$93),1/Inputs!$J$13,0)</f>
        <v>8.3333333333333329E-2</v>
      </c>
      <c r="R20" s="22">
        <f>IF(AND(R8&gt;=Inputs!$K$89,R8&lt;=Inputs!$K$93),1/Inputs!$J$13,0)</f>
        <v>8.3333333333333329E-2</v>
      </c>
      <c r="S20" s="22">
        <f>IF(AND(S8&gt;=Inputs!$K$89,S8&lt;=Inputs!$K$93),1/Inputs!$J$13,0)</f>
        <v>8.3333333333333329E-2</v>
      </c>
      <c r="T20" s="22">
        <f>IF(AND(T8&gt;=Inputs!$K$89,T8&lt;=Inputs!$K$93),1/Inputs!$J$13,0)</f>
        <v>8.3333333333333329E-2</v>
      </c>
      <c r="U20" s="22">
        <f>IF(AND(U8&gt;=Inputs!$K$89,U8&lt;=Inputs!$K$93),1/Inputs!$J$13,0)</f>
        <v>8.3333333333333329E-2</v>
      </c>
      <c r="V20" s="22">
        <f>IF(AND(V8&gt;=Inputs!$K$89,V8&lt;=Inputs!$K$93),1/Inputs!$J$13,0)</f>
        <v>0</v>
      </c>
      <c r="W20" s="22">
        <f>IF(AND(W8&gt;=Inputs!$K$89,W8&lt;=Inputs!$K$93),1/Inputs!$J$13,0)</f>
        <v>0</v>
      </c>
      <c r="X20" s="22">
        <f>IF(AND(X8&gt;=Inputs!$K$89,X8&lt;=Inputs!$K$93),1/Inputs!$J$13,0)</f>
        <v>0</v>
      </c>
      <c r="Y20" s="22">
        <f>IF(AND(Y8&gt;=Inputs!$K$89,Y8&lt;=Inputs!$K$93),1/Inputs!$J$13,0)</f>
        <v>0</v>
      </c>
      <c r="Z20" s="22">
        <f>IF(AND(Z8&gt;=Inputs!$K$89,Z8&lt;=Inputs!$K$93),1/Inputs!$J$13,0)</f>
        <v>0</v>
      </c>
      <c r="AA20" s="22">
        <f>IF(AND(AA8&gt;=Inputs!$K$89,AA8&lt;=Inputs!$K$93),1/Inputs!$J$13,0)</f>
        <v>0</v>
      </c>
      <c r="AB20" s="22">
        <f>IF(AND(AB8&gt;=Inputs!$K$89,AB8&lt;=Inputs!$K$93),1/Inputs!$J$13,0)</f>
        <v>0</v>
      </c>
      <c r="AC20" s="22">
        <f>IF(AND(AC8&gt;=Inputs!$K$89,AC8&lt;=Inputs!$K$93),1/Inputs!$J$13,0)</f>
        <v>0</v>
      </c>
      <c r="AD20" s="22">
        <f>IF(AND(AD8&gt;=Inputs!$K$89,AD8&lt;=Inputs!$K$93),1/Inputs!$J$13,0)</f>
        <v>0</v>
      </c>
      <c r="AE20" s="22">
        <f>IF(AND(AE8&gt;=Inputs!$K$89,AE8&lt;=Inputs!$K$93),1/Inputs!$J$13,0)</f>
        <v>0</v>
      </c>
      <c r="AF20" s="22">
        <f>IF(AND(AF8&gt;=Inputs!$K$89,AF8&lt;=Inputs!$K$93),1/Inputs!$J$13,0)</f>
        <v>0</v>
      </c>
      <c r="AG20" s="22">
        <f>IF(AND(AG8&gt;=Inputs!$K$89,AG8&lt;=Inputs!$K$93),1/Inputs!$J$13,0)</f>
        <v>0</v>
      </c>
      <c r="AH20" s="22">
        <f>IF(AND(AH8&gt;=Inputs!$K$89,AH8&lt;=Inputs!$K$93),1/Inputs!$J$13,0)</f>
        <v>0</v>
      </c>
      <c r="AI20" s="22">
        <f>IF(AND(AI8&gt;=Inputs!$K$89,AI8&lt;=Inputs!$K$93),1/Inputs!$J$13,0)</f>
        <v>0</v>
      </c>
      <c r="AJ20" s="22">
        <f>IF(AND(AJ8&gt;=Inputs!$K$89,AJ8&lt;=Inputs!$K$93),1/Inputs!$J$13,0)</f>
        <v>0</v>
      </c>
      <c r="AK20" s="22">
        <f>IF(AND(AK8&gt;=Inputs!$K$89,AK8&lt;=Inputs!$K$93),1/Inputs!$J$13,0)</f>
        <v>0</v>
      </c>
      <c r="AL20" s="22">
        <f>IF(AND(AL8&gt;=Inputs!$K$89,AL8&lt;=Inputs!$K$93),1/Inputs!$J$13,0)</f>
        <v>0</v>
      </c>
      <c r="AM20" s="22">
        <f>IF(AND(AM8&gt;=Inputs!$K$89,AM8&lt;=Inputs!$K$93),1/Inputs!$J$13,0)</f>
        <v>0</v>
      </c>
      <c r="AN20" s="22">
        <f>IF(AND(AN8&gt;=Inputs!$K$89,AN8&lt;=Inputs!$K$93),1/Inputs!$J$13,0)</f>
        <v>0</v>
      </c>
      <c r="AO20" s="22">
        <f>IF(AND(AO8&gt;=Inputs!$K$89,AO8&lt;=Inputs!$K$93),1/Inputs!$J$13,0)</f>
        <v>0</v>
      </c>
      <c r="AP20" s="22">
        <f>IF(AND(AP8&gt;=Inputs!$K$89,AP8&lt;=Inputs!$K$93),1/Inputs!$J$13,0)</f>
        <v>0</v>
      </c>
      <c r="AQ20" s="22">
        <f>IF(AND(AQ8&gt;=Inputs!$K$89,AQ8&lt;=Inputs!$K$93),1/Inputs!$J$13,0)</f>
        <v>0</v>
      </c>
      <c r="AR20" s="22">
        <f>IF(AND(AR8&gt;=Inputs!$K$89,AR8&lt;=Inputs!$K$93),1/Inputs!$J$13,0)</f>
        <v>0</v>
      </c>
      <c r="AS20" s="22">
        <f>IF(AND(AS8&gt;=Inputs!$K$89,AS8&lt;=Inputs!$K$93),1/Inputs!$J$13,0)</f>
        <v>0</v>
      </c>
      <c r="AT20" s="22">
        <f>IF(AND(AT8&gt;=Inputs!$K$89,AT8&lt;=Inputs!$K$93),1/Inputs!$J$13,0)</f>
        <v>0</v>
      </c>
      <c r="AU20" s="22">
        <f>IF(AND(AU8&gt;=Inputs!$K$89,AU8&lt;=Inputs!$K$93),1/Inputs!$J$13,0)</f>
        <v>0</v>
      </c>
      <c r="AV20" s="22">
        <f>IF(AND(AV8&gt;=Inputs!$K$89,AV8&lt;=Inputs!$K$93),1/Inputs!$J$13,0)</f>
        <v>0</v>
      </c>
      <c r="AW20" s="22">
        <f>IF(AND(AW8&gt;=Inputs!$K$89,AW8&lt;=Inputs!$K$93),1/Inputs!$J$13,0)</f>
        <v>0</v>
      </c>
      <c r="AX20" s="22">
        <f>IF(AND(AX8&gt;=Inputs!$K$89,AX8&lt;=Inputs!$K$93),1/Inputs!$J$13,0)</f>
        <v>0</v>
      </c>
      <c r="AY20" s="22">
        <f>IF(AND(AY8&gt;=Inputs!$K$89,AY8&lt;=Inputs!$K$93),1/Inputs!$J$13,0)</f>
        <v>0</v>
      </c>
      <c r="AZ20" s="22">
        <f>IF(AND(AZ8&gt;=Inputs!$K$89,AZ8&lt;=Inputs!$K$93),1/Inputs!$J$13,0)</f>
        <v>0</v>
      </c>
      <c r="BA20" s="22">
        <f>IF(AND(BA8&gt;=Inputs!$K$89,BA8&lt;=Inputs!$K$93),1/Inputs!$J$13,0)</f>
        <v>0</v>
      </c>
      <c r="BB20" s="22">
        <f>IF(AND(BB8&gt;=Inputs!$K$89,BB8&lt;=Inputs!$K$93),1/Inputs!$J$13,0)</f>
        <v>0</v>
      </c>
      <c r="BC20" s="22">
        <f>IF(AND(BC8&gt;=Inputs!$K$89,BC8&lt;=Inputs!$K$93),1/Inputs!$J$13,0)</f>
        <v>0</v>
      </c>
      <c r="BD20" s="22">
        <f>IF(AND(BD8&gt;=Inputs!$K$89,BD8&lt;=Inputs!$K$93),1/Inputs!$J$13,0)</f>
        <v>0</v>
      </c>
      <c r="BE20" s="22">
        <f>IF(AND(BE8&gt;=Inputs!$K$89,BE8&lt;=Inputs!$K$93),1/Inputs!$J$13,0)</f>
        <v>0</v>
      </c>
      <c r="BF20" s="22">
        <f>IF(AND(BF8&gt;=Inputs!$K$89,BF8&lt;=Inputs!$K$93),1/Inputs!$J$13,0)</f>
        <v>0</v>
      </c>
      <c r="BG20" s="22">
        <f>IF(AND(BG8&gt;=Inputs!$K$89,BG8&lt;=Inputs!$K$93),1/Inputs!$J$13,0)</f>
        <v>0</v>
      </c>
      <c r="BH20" s="22">
        <f>IF(AND(BH8&gt;=Inputs!$K$89,BH8&lt;=Inputs!$K$93),1/Inputs!$J$13,0)</f>
        <v>0</v>
      </c>
      <c r="BI20" s="22">
        <f>IF(AND(BI8&gt;=Inputs!$K$89,BI8&lt;=Inputs!$K$93),1/Inputs!$J$13,0)</f>
        <v>0</v>
      </c>
      <c r="BJ20" s="22">
        <f>IF(AND(BJ8&gt;=Inputs!$K$89,BJ8&lt;=Inputs!$K$93),1/Inputs!$J$13,0)</f>
        <v>0</v>
      </c>
      <c r="BK20" s="22">
        <f>IF(AND(BK8&gt;=Inputs!$K$89,BK8&lt;=Inputs!$K$93),1/Inputs!$J$13,0)</f>
        <v>0</v>
      </c>
    </row>
    <row r="21" spans="1:63" s="5" customFormat="1">
      <c r="A21" s="11" t="s">
        <v>199</v>
      </c>
      <c r="B21" s="49"/>
      <c r="C21" s="21">
        <f>-C20*Inputs!$K$34</f>
        <v>0</v>
      </c>
      <c r="D21" s="21">
        <f>-D20*Inputs!$K$34</f>
        <v>0</v>
      </c>
      <c r="E21" s="21">
        <f>-E20*Inputs!$K$34</f>
        <v>0</v>
      </c>
      <c r="F21" s="21">
        <f>-F20*Inputs!$K$34</f>
        <v>0</v>
      </c>
      <c r="G21" s="21">
        <f>-G20*Inputs!$K$34</f>
        <v>0</v>
      </c>
      <c r="H21" s="21">
        <f>-H20*Inputs!$K$34</f>
        <v>0</v>
      </c>
      <c r="I21" s="21">
        <f>-I20*Inputs!$K$34</f>
        <v>0</v>
      </c>
      <c r="J21" s="21">
        <f>-J20*Inputs!$K$34</f>
        <v>-1050000</v>
      </c>
      <c r="K21" s="21">
        <f>-K20*Inputs!$K$34</f>
        <v>-1050000</v>
      </c>
      <c r="L21" s="21">
        <f>-L20*Inputs!$K$34</f>
        <v>-1050000</v>
      </c>
      <c r="M21" s="21">
        <f>-M20*Inputs!$K$34</f>
        <v>-1050000</v>
      </c>
      <c r="N21" s="21">
        <f>-N20*Inputs!$K$34</f>
        <v>-1050000</v>
      </c>
      <c r="O21" s="21">
        <f>-O20*Inputs!$K$34</f>
        <v>-1050000</v>
      </c>
      <c r="P21" s="21">
        <f>-P20*Inputs!$K$34</f>
        <v>-1050000</v>
      </c>
      <c r="Q21" s="21">
        <f>-Q20*Inputs!$K$34</f>
        <v>-1050000</v>
      </c>
      <c r="R21" s="21">
        <f>-R20*Inputs!$K$34</f>
        <v>-1050000</v>
      </c>
      <c r="S21" s="21">
        <f>-S20*Inputs!$K$34</f>
        <v>-1050000</v>
      </c>
      <c r="T21" s="21">
        <f>-T20*Inputs!$K$34</f>
        <v>-1050000</v>
      </c>
      <c r="U21" s="21">
        <f>-U20*Inputs!$K$34</f>
        <v>-1050000</v>
      </c>
      <c r="V21" s="21">
        <f>-V20*Inputs!$K$34</f>
        <v>0</v>
      </c>
      <c r="W21" s="21">
        <f>-W20*Inputs!$K$34</f>
        <v>0</v>
      </c>
      <c r="X21" s="21">
        <f>-X20*Inputs!$K$34</f>
        <v>0</v>
      </c>
      <c r="Y21" s="21">
        <f>-Y20*Inputs!$K$34</f>
        <v>0</v>
      </c>
      <c r="Z21" s="21">
        <f>-Z20*Inputs!$K$34</f>
        <v>0</v>
      </c>
      <c r="AA21" s="21">
        <f>-AA20*Inputs!$K$34</f>
        <v>0</v>
      </c>
      <c r="AB21" s="21">
        <f>-AB20*Inputs!$K$34</f>
        <v>0</v>
      </c>
      <c r="AC21" s="21">
        <f>-AC20*Inputs!$K$34</f>
        <v>0</v>
      </c>
      <c r="AD21" s="21">
        <f>-AD20*Inputs!$K$34</f>
        <v>0</v>
      </c>
      <c r="AE21" s="21">
        <f>-AE20*Inputs!$K$34</f>
        <v>0</v>
      </c>
      <c r="AF21" s="21">
        <f>-AF20*Inputs!$K$34</f>
        <v>0</v>
      </c>
      <c r="AG21" s="21">
        <f>-AG20*Inputs!$K$34</f>
        <v>0</v>
      </c>
      <c r="AH21" s="21">
        <f>-AH20*Inputs!$K$34</f>
        <v>0</v>
      </c>
      <c r="AI21" s="21">
        <f>-AI20*Inputs!$K$34</f>
        <v>0</v>
      </c>
      <c r="AJ21" s="21">
        <f>-AJ20*Inputs!$K$34</f>
        <v>0</v>
      </c>
      <c r="AK21" s="21">
        <f>-AK20*Inputs!$K$34</f>
        <v>0</v>
      </c>
      <c r="AL21" s="21">
        <f>-AL20*Inputs!$K$34</f>
        <v>0</v>
      </c>
      <c r="AM21" s="21">
        <f>-AM20*Inputs!$K$34</f>
        <v>0</v>
      </c>
      <c r="AN21" s="21">
        <f>-AN20*Inputs!$K$34</f>
        <v>0</v>
      </c>
      <c r="AO21" s="21">
        <f>-AO20*Inputs!$K$34</f>
        <v>0</v>
      </c>
      <c r="AP21" s="21">
        <f>-AP20*Inputs!$K$34</f>
        <v>0</v>
      </c>
      <c r="AQ21" s="21">
        <f>-AQ20*Inputs!$K$34</f>
        <v>0</v>
      </c>
      <c r="AR21" s="21">
        <f>-AR20*Inputs!$K$34</f>
        <v>0</v>
      </c>
      <c r="AS21" s="21">
        <f>-AS20*Inputs!$K$34</f>
        <v>0</v>
      </c>
      <c r="AT21" s="21">
        <f>-AT20*Inputs!$K$34</f>
        <v>0</v>
      </c>
      <c r="AU21" s="21">
        <f>-AU20*Inputs!$K$34</f>
        <v>0</v>
      </c>
      <c r="AV21" s="21">
        <f>-AV20*Inputs!$K$34</f>
        <v>0</v>
      </c>
      <c r="AW21" s="21">
        <f>-AW20*Inputs!$K$34</f>
        <v>0</v>
      </c>
      <c r="AX21" s="21">
        <f>-AX20*Inputs!$K$34</f>
        <v>0</v>
      </c>
      <c r="AY21" s="21">
        <f>-AY20*Inputs!$K$34</f>
        <v>0</v>
      </c>
      <c r="AZ21" s="21">
        <f>-AZ20*Inputs!$K$34</f>
        <v>0</v>
      </c>
      <c r="BA21" s="21">
        <f>-BA20*Inputs!$K$34</f>
        <v>0</v>
      </c>
      <c r="BB21" s="21">
        <f>-BB20*Inputs!$K$34</f>
        <v>0</v>
      </c>
      <c r="BC21" s="21">
        <f>-BC20*Inputs!$K$34</f>
        <v>0</v>
      </c>
      <c r="BD21" s="21">
        <f>-BD20*Inputs!$K$34</f>
        <v>0</v>
      </c>
      <c r="BE21" s="21">
        <f>-BE20*Inputs!$K$34</f>
        <v>0</v>
      </c>
      <c r="BF21" s="21">
        <f>-BF20*Inputs!$K$34</f>
        <v>0</v>
      </c>
      <c r="BG21" s="21">
        <f>-BG20*Inputs!$K$34</f>
        <v>0</v>
      </c>
      <c r="BH21" s="21">
        <f>-BH20*Inputs!$K$34</f>
        <v>0</v>
      </c>
      <c r="BI21" s="21">
        <f>-BI20*Inputs!$K$34</f>
        <v>0</v>
      </c>
      <c r="BJ21" s="21">
        <f>-BJ20*Inputs!$K$34</f>
        <v>0</v>
      </c>
      <c r="BK21" s="21">
        <f>-BK20*Inputs!$K$34</f>
        <v>0</v>
      </c>
    </row>
    <row r="22" spans="1:63" s="5" customFormat="1">
      <c r="A22" s="8" t="s">
        <v>200</v>
      </c>
      <c r="B22" s="23">
        <f>SUM(C22:BK22)</f>
        <v>-25200000</v>
      </c>
      <c r="C22" s="23">
        <f>SUM(C21,C19)</f>
        <v>0</v>
      </c>
      <c r="D22" s="23">
        <f t="shared" ref="D22:BK22" si="7">SUM(D21,D19)</f>
        <v>0</v>
      </c>
      <c r="E22" s="23">
        <f t="shared" si="7"/>
        <v>0</v>
      </c>
      <c r="F22" s="23">
        <f t="shared" si="7"/>
        <v>0</v>
      </c>
      <c r="G22" s="23">
        <f t="shared" si="7"/>
        <v>0</v>
      </c>
      <c r="H22" s="23">
        <f t="shared" si="7"/>
        <v>0</v>
      </c>
      <c r="I22" s="23">
        <f t="shared" si="7"/>
        <v>0</v>
      </c>
      <c r="J22" s="23">
        <f t="shared" si="7"/>
        <v>-1050000</v>
      </c>
      <c r="K22" s="23">
        <f t="shared" si="7"/>
        <v>-4200000</v>
      </c>
      <c r="L22" s="23">
        <f t="shared" si="7"/>
        <v>-2940000</v>
      </c>
      <c r="M22" s="23">
        <f t="shared" si="7"/>
        <v>-2940000</v>
      </c>
      <c r="N22" s="23">
        <f t="shared" si="7"/>
        <v>-2940000</v>
      </c>
      <c r="O22" s="23">
        <f t="shared" si="7"/>
        <v>-2940000</v>
      </c>
      <c r="P22" s="23">
        <f t="shared" si="7"/>
        <v>-2940000</v>
      </c>
      <c r="Q22" s="23">
        <f t="shared" si="7"/>
        <v>-1050000</v>
      </c>
      <c r="R22" s="23">
        <f t="shared" si="7"/>
        <v>-1050000</v>
      </c>
      <c r="S22" s="23">
        <f t="shared" si="7"/>
        <v>-1050000</v>
      </c>
      <c r="T22" s="23">
        <f t="shared" si="7"/>
        <v>-1050000</v>
      </c>
      <c r="U22" s="23">
        <f t="shared" si="7"/>
        <v>-1050000</v>
      </c>
      <c r="V22" s="23">
        <f t="shared" si="7"/>
        <v>0</v>
      </c>
      <c r="W22" s="23">
        <f t="shared" si="7"/>
        <v>0</v>
      </c>
      <c r="X22" s="23">
        <f t="shared" si="7"/>
        <v>0</v>
      </c>
      <c r="Y22" s="23">
        <f t="shared" si="7"/>
        <v>0</v>
      </c>
      <c r="Z22" s="23">
        <f t="shared" si="7"/>
        <v>0</v>
      </c>
      <c r="AA22" s="23">
        <f t="shared" si="7"/>
        <v>0</v>
      </c>
      <c r="AB22" s="23">
        <f t="shared" si="7"/>
        <v>0</v>
      </c>
      <c r="AC22" s="23">
        <f t="shared" si="7"/>
        <v>0</v>
      </c>
      <c r="AD22" s="23">
        <f t="shared" si="7"/>
        <v>0</v>
      </c>
      <c r="AE22" s="23">
        <f t="shared" si="7"/>
        <v>0</v>
      </c>
      <c r="AF22" s="23">
        <f t="shared" si="7"/>
        <v>0</v>
      </c>
      <c r="AG22" s="23">
        <f t="shared" si="7"/>
        <v>0</v>
      </c>
      <c r="AH22" s="23">
        <f t="shared" si="7"/>
        <v>0</v>
      </c>
      <c r="AI22" s="23">
        <f t="shared" si="7"/>
        <v>0</v>
      </c>
      <c r="AJ22" s="23">
        <f t="shared" si="7"/>
        <v>0</v>
      </c>
      <c r="AK22" s="23">
        <f t="shared" si="7"/>
        <v>0</v>
      </c>
      <c r="AL22" s="23">
        <f t="shared" si="7"/>
        <v>0</v>
      </c>
      <c r="AM22" s="23">
        <f t="shared" si="7"/>
        <v>0</v>
      </c>
      <c r="AN22" s="23">
        <f t="shared" si="7"/>
        <v>0</v>
      </c>
      <c r="AO22" s="23">
        <f t="shared" si="7"/>
        <v>0</v>
      </c>
      <c r="AP22" s="23">
        <f t="shared" si="7"/>
        <v>0</v>
      </c>
      <c r="AQ22" s="23">
        <f t="shared" si="7"/>
        <v>0</v>
      </c>
      <c r="AR22" s="23">
        <f t="shared" si="7"/>
        <v>0</v>
      </c>
      <c r="AS22" s="23">
        <f t="shared" si="7"/>
        <v>0</v>
      </c>
      <c r="AT22" s="23">
        <f t="shared" si="7"/>
        <v>0</v>
      </c>
      <c r="AU22" s="23">
        <f t="shared" si="7"/>
        <v>0</v>
      </c>
      <c r="AV22" s="23">
        <f t="shared" si="7"/>
        <v>0</v>
      </c>
      <c r="AW22" s="23">
        <f t="shared" si="7"/>
        <v>0</v>
      </c>
      <c r="AX22" s="23">
        <f t="shared" si="7"/>
        <v>0</v>
      </c>
      <c r="AY22" s="23">
        <f t="shared" si="7"/>
        <v>0</v>
      </c>
      <c r="AZ22" s="23">
        <f t="shared" si="7"/>
        <v>0</v>
      </c>
      <c r="BA22" s="23">
        <f t="shared" si="7"/>
        <v>0</v>
      </c>
      <c r="BB22" s="23">
        <f t="shared" si="7"/>
        <v>0</v>
      </c>
      <c r="BC22" s="23">
        <f t="shared" si="7"/>
        <v>0</v>
      </c>
      <c r="BD22" s="23">
        <f t="shared" si="7"/>
        <v>0</v>
      </c>
      <c r="BE22" s="23">
        <f t="shared" si="7"/>
        <v>0</v>
      </c>
      <c r="BF22" s="23">
        <f t="shared" si="7"/>
        <v>0</v>
      </c>
      <c r="BG22" s="23">
        <f t="shared" si="7"/>
        <v>0</v>
      </c>
      <c r="BH22" s="23">
        <f t="shared" si="7"/>
        <v>0</v>
      </c>
      <c r="BI22" s="23">
        <f t="shared" si="7"/>
        <v>0</v>
      </c>
      <c r="BJ22" s="23">
        <f t="shared" si="7"/>
        <v>0</v>
      </c>
      <c r="BK22" s="23">
        <f t="shared" si="7"/>
        <v>0</v>
      </c>
    </row>
    <row r="23" spans="1:63">
      <c r="A23" s="12"/>
      <c r="B23" s="2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s="5" customFormat="1">
      <c r="A24" s="5" t="s">
        <v>201</v>
      </c>
      <c r="B24" s="25">
        <f>-Inputs!K46</f>
        <v>-3002000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5" customFormat="1">
      <c r="A25" s="11" t="s">
        <v>202</v>
      </c>
      <c r="B25" s="48">
        <f>SUM(C25:BK25)</f>
        <v>0.99999999999999956</v>
      </c>
      <c r="C25" s="22">
        <f>IF(AND(C8&gt;=Inputs!$K$87,C8&lt;=Inputs!$K$93),1/(Inputs!$K$93-Inputs!$K$87+1),0)</f>
        <v>5.2631578947368418E-2</v>
      </c>
      <c r="D25" s="22">
        <f>IF(AND(D8&gt;=Inputs!$K$87,D8&lt;=Inputs!$K$93),1/(Inputs!$K$93-Inputs!$K$87+1),0)</f>
        <v>5.2631578947368418E-2</v>
      </c>
      <c r="E25" s="22">
        <f>IF(AND(E8&gt;=Inputs!$K$87,E8&lt;=Inputs!$K$93),1/(Inputs!$K$93-Inputs!$K$87+1),0)</f>
        <v>5.2631578947368418E-2</v>
      </c>
      <c r="F25" s="22">
        <f>IF(AND(F8&gt;=Inputs!$K$87,F8&lt;=Inputs!$K$93),1/(Inputs!$K$93-Inputs!$K$87+1),0)</f>
        <v>5.2631578947368418E-2</v>
      </c>
      <c r="G25" s="22">
        <f>IF(AND(G8&gt;=Inputs!$K$87,G8&lt;=Inputs!$K$93),1/(Inputs!$K$93-Inputs!$K$87+1),0)</f>
        <v>5.2631578947368418E-2</v>
      </c>
      <c r="H25" s="22">
        <f>IF(AND(H8&gt;=Inputs!$K$87,H8&lt;=Inputs!$K$93),1/(Inputs!$K$93-Inputs!$K$87+1),0)</f>
        <v>5.2631578947368418E-2</v>
      </c>
      <c r="I25" s="22">
        <f>IF(AND(I8&gt;=Inputs!$K$87,I8&lt;=Inputs!$K$93),1/(Inputs!$K$93-Inputs!$K$87+1),0)</f>
        <v>5.2631578947368418E-2</v>
      </c>
      <c r="J25" s="22">
        <f>IF(AND(J8&gt;=Inputs!$K$87,J8&lt;=Inputs!$K$93),1/(Inputs!$K$93-Inputs!$K$87+1),0)</f>
        <v>5.2631578947368418E-2</v>
      </c>
      <c r="K25" s="22">
        <f>IF(AND(K8&gt;=Inputs!$K$87,K8&lt;=Inputs!$K$93),1/(Inputs!$K$93-Inputs!$K$87+1),0)</f>
        <v>5.2631578947368418E-2</v>
      </c>
      <c r="L25" s="22">
        <f>IF(AND(L8&gt;=Inputs!$K$87,L8&lt;=Inputs!$K$93),1/(Inputs!$K$93-Inputs!$K$87+1),0)</f>
        <v>5.2631578947368418E-2</v>
      </c>
      <c r="M25" s="22">
        <f>IF(AND(M8&gt;=Inputs!$K$87,M8&lt;=Inputs!$K$93),1/(Inputs!$K$93-Inputs!$K$87+1),0)</f>
        <v>5.2631578947368418E-2</v>
      </c>
      <c r="N25" s="22">
        <f>IF(AND(N8&gt;=Inputs!$K$87,N8&lt;=Inputs!$K$93),1/(Inputs!$K$93-Inputs!$K$87+1),0)</f>
        <v>5.2631578947368418E-2</v>
      </c>
      <c r="O25" s="22">
        <f>IF(AND(O8&gt;=Inputs!$K$87,O8&lt;=Inputs!$K$93),1/(Inputs!$K$93-Inputs!$K$87+1),0)</f>
        <v>5.2631578947368418E-2</v>
      </c>
      <c r="P25" s="22">
        <f>IF(AND(P8&gt;=Inputs!$K$87,P8&lt;=Inputs!$K$93),1/(Inputs!$K$93-Inputs!$K$87+1),0)</f>
        <v>5.2631578947368418E-2</v>
      </c>
      <c r="Q25" s="22">
        <f>IF(AND(Q8&gt;=Inputs!$K$87,Q8&lt;=Inputs!$K$93),1/(Inputs!$K$93-Inputs!$K$87+1),0)</f>
        <v>5.2631578947368418E-2</v>
      </c>
      <c r="R25" s="22">
        <f>IF(AND(R8&gt;=Inputs!$K$87,R8&lt;=Inputs!$K$93),1/(Inputs!$K$93-Inputs!$K$87+1),0)</f>
        <v>5.2631578947368418E-2</v>
      </c>
      <c r="S25" s="22">
        <f>IF(AND(S8&gt;=Inputs!$K$87,S8&lt;=Inputs!$K$93),1/(Inputs!$K$93-Inputs!$K$87+1),0)</f>
        <v>5.2631578947368418E-2</v>
      </c>
      <c r="T25" s="22">
        <f>IF(AND(T8&gt;=Inputs!$K$87,T8&lt;=Inputs!$K$93),1/(Inputs!$K$93-Inputs!$K$87+1),0)</f>
        <v>5.2631578947368418E-2</v>
      </c>
      <c r="U25" s="22">
        <f>IF(AND(U8&gt;=Inputs!$K$87,U8&lt;=Inputs!$K$93),1/(Inputs!$K$93-Inputs!$K$87+1),0)</f>
        <v>5.2631578947368418E-2</v>
      </c>
      <c r="V25" s="22">
        <f>IF(AND(V8&gt;=Inputs!$K$87,V8&lt;=Inputs!$K$93),1/(Inputs!$K$93-Inputs!$K$87+1),0)</f>
        <v>0</v>
      </c>
      <c r="W25" s="22">
        <f>IF(AND(W8&gt;=Inputs!$K$87,W8&lt;=Inputs!$K$93),1/(Inputs!$K$93-Inputs!$K$87+1),0)</f>
        <v>0</v>
      </c>
      <c r="X25" s="22">
        <f>IF(AND(X8&gt;=Inputs!$K$87,X8&lt;=Inputs!$K$93),1/(Inputs!$K$93-Inputs!$K$87+1),0)</f>
        <v>0</v>
      </c>
      <c r="Y25" s="22">
        <f>IF(AND(Y8&gt;=Inputs!$K$87,Y8&lt;=Inputs!$K$93),1/(Inputs!$K$93-Inputs!$K$87+1),0)</f>
        <v>0</v>
      </c>
      <c r="Z25" s="22">
        <f>IF(AND(Z8&gt;=Inputs!$K$87,Z8&lt;=Inputs!$K$93),1/(Inputs!$K$93-Inputs!$K$87+1),0)</f>
        <v>0</v>
      </c>
      <c r="AA25" s="22">
        <f>IF(AND(AA8&gt;=Inputs!$K$87,AA8&lt;=Inputs!$K$93),1/(Inputs!$K$93-Inputs!$K$87+1),0)</f>
        <v>0</v>
      </c>
      <c r="AB25" s="22">
        <f>IF(AND(AB8&gt;=Inputs!$K$87,AB8&lt;=Inputs!$K$93),1/(Inputs!$K$93-Inputs!$K$87+1),0)</f>
        <v>0</v>
      </c>
      <c r="AC25" s="22">
        <f>IF(AND(AC8&gt;=Inputs!$K$87,AC8&lt;=Inputs!$K$93),1/(Inputs!$K$93-Inputs!$K$87+1),0)</f>
        <v>0</v>
      </c>
      <c r="AD25" s="22">
        <f>IF(AND(AD8&gt;=Inputs!$K$87,AD8&lt;=Inputs!$K$93),1/(Inputs!$K$93-Inputs!$K$87+1),0)</f>
        <v>0</v>
      </c>
      <c r="AE25" s="22">
        <f>IF(AND(AE8&gt;=Inputs!$K$87,AE8&lt;=Inputs!$K$93),1/(Inputs!$K$93-Inputs!$K$87+1),0)</f>
        <v>0</v>
      </c>
      <c r="AF25" s="22">
        <f>IF(AND(AF8&gt;=Inputs!$K$87,AF8&lt;=Inputs!$K$93),1/(Inputs!$K$93-Inputs!$K$87+1),0)</f>
        <v>0</v>
      </c>
      <c r="AG25" s="22">
        <f>IF(AND(AG8&gt;=Inputs!$K$87,AG8&lt;=Inputs!$K$93),1/(Inputs!$K$93-Inputs!$K$87+1),0)</f>
        <v>0</v>
      </c>
      <c r="AH25" s="22">
        <f>IF(AND(AH8&gt;=Inputs!$K$87,AH8&lt;=Inputs!$K$93),1/(Inputs!$K$93-Inputs!$K$87+1),0)</f>
        <v>0</v>
      </c>
      <c r="AI25" s="22">
        <f>IF(AND(AI8&gt;=Inputs!$K$87,AI8&lt;=Inputs!$K$93),1/(Inputs!$K$93-Inputs!$K$87+1),0)</f>
        <v>0</v>
      </c>
      <c r="AJ25" s="22">
        <f>IF(AND(AJ8&gt;=Inputs!$K$87,AJ8&lt;=Inputs!$K$93),1/(Inputs!$K$93-Inputs!$K$87+1),0)</f>
        <v>0</v>
      </c>
      <c r="AK25" s="22">
        <f>IF(AND(AK8&gt;=Inputs!$K$87,AK8&lt;=Inputs!$K$93),1/(Inputs!$K$93-Inputs!$K$87+1),0)</f>
        <v>0</v>
      </c>
      <c r="AL25" s="22">
        <f>IF(AND(AL8&gt;=Inputs!$K$87,AL8&lt;=Inputs!$K$93),1/(Inputs!$K$93-Inputs!$K$87+1),0)</f>
        <v>0</v>
      </c>
      <c r="AM25" s="22">
        <f>IF(AND(AM8&gt;=Inputs!$K$87,AM8&lt;=Inputs!$K$93),1/(Inputs!$K$93-Inputs!$K$87+1),0)</f>
        <v>0</v>
      </c>
      <c r="AN25" s="22">
        <f>IF(AND(AN8&gt;=Inputs!$K$87,AN8&lt;=Inputs!$K$93),1/(Inputs!$K$93-Inputs!$K$87+1),0)</f>
        <v>0</v>
      </c>
      <c r="AO25" s="22">
        <f>IF(AND(AO8&gt;=Inputs!$K$87,AO8&lt;=Inputs!$K$93),1/(Inputs!$K$93-Inputs!$K$87+1),0)</f>
        <v>0</v>
      </c>
      <c r="AP25" s="22">
        <f>IF(AND(AP8&gt;=Inputs!$K$87,AP8&lt;=Inputs!$K$93),1/(Inputs!$K$93-Inputs!$K$87+1),0)</f>
        <v>0</v>
      </c>
      <c r="AQ25" s="22">
        <f>IF(AND(AQ8&gt;=Inputs!$K$87,AQ8&lt;=Inputs!$K$93),1/(Inputs!$K$93-Inputs!$K$87+1),0)</f>
        <v>0</v>
      </c>
      <c r="AR25" s="22">
        <f>IF(AND(AR8&gt;=Inputs!$K$87,AR8&lt;=Inputs!$K$93),1/(Inputs!$K$93-Inputs!$K$87+1),0)</f>
        <v>0</v>
      </c>
      <c r="AS25" s="22">
        <f>IF(AND(AS8&gt;=Inputs!$K$87,AS8&lt;=Inputs!$K$93),1/(Inputs!$K$93-Inputs!$K$87+1),0)</f>
        <v>0</v>
      </c>
      <c r="AT25" s="22">
        <f>IF(AND(AT8&gt;=Inputs!$K$87,AT8&lt;=Inputs!$K$93),1/(Inputs!$K$93-Inputs!$K$87+1),0)</f>
        <v>0</v>
      </c>
      <c r="AU25" s="22">
        <f>IF(AND(AU8&gt;=Inputs!$K$87,AU8&lt;=Inputs!$K$93),1/(Inputs!$K$93-Inputs!$K$87+1),0)</f>
        <v>0</v>
      </c>
      <c r="AV25" s="22">
        <f>IF(AND(AV8&gt;=Inputs!$K$87,AV8&lt;=Inputs!$K$93),1/(Inputs!$K$93-Inputs!$K$87+1),0)</f>
        <v>0</v>
      </c>
      <c r="AW25" s="22">
        <f>IF(AND(AW8&gt;=Inputs!$K$87,AW8&lt;=Inputs!$K$93),1/(Inputs!$K$93-Inputs!$K$87+1),0)</f>
        <v>0</v>
      </c>
      <c r="AX25" s="22">
        <f>IF(AND(AX8&gt;=Inputs!$K$87,AX8&lt;=Inputs!$K$93),1/(Inputs!$K$93-Inputs!$K$87+1),0)</f>
        <v>0</v>
      </c>
      <c r="AY25" s="22">
        <f>IF(AND(AY8&gt;=Inputs!$K$87,AY8&lt;=Inputs!$K$93),1/(Inputs!$K$93-Inputs!$K$87+1),0)</f>
        <v>0</v>
      </c>
      <c r="AZ25" s="22">
        <f>IF(AND(AZ8&gt;=Inputs!$K$87,AZ8&lt;=Inputs!$K$93),1/(Inputs!$K$93-Inputs!$K$87+1),0)</f>
        <v>0</v>
      </c>
      <c r="BA25" s="22">
        <f>IF(AND(BA8&gt;=Inputs!$K$87,BA8&lt;=Inputs!$K$93),1/(Inputs!$K$93-Inputs!$K$87+1),0)</f>
        <v>0</v>
      </c>
      <c r="BB25" s="22">
        <f>IF(AND(BB8&gt;=Inputs!$K$87,BB8&lt;=Inputs!$K$93),1/(Inputs!$K$93-Inputs!$K$87+1),0)</f>
        <v>0</v>
      </c>
      <c r="BC25" s="22">
        <f>IF(AND(BC8&gt;=Inputs!$K$87,BC8&lt;=Inputs!$K$93),1/(Inputs!$K$93-Inputs!$K$87+1),0)</f>
        <v>0</v>
      </c>
      <c r="BD25" s="22">
        <f>IF(AND(BD8&gt;=Inputs!$K$87,BD8&lt;=Inputs!$K$93),1/(Inputs!$K$93-Inputs!$K$87+1),0)</f>
        <v>0</v>
      </c>
      <c r="BE25" s="22">
        <f>IF(AND(BE8&gt;=Inputs!$K$87,BE8&lt;=Inputs!$K$93),1/(Inputs!$K$93-Inputs!$K$87+1),0)</f>
        <v>0</v>
      </c>
      <c r="BF25" s="22">
        <f>IF(AND(BF8&gt;=Inputs!$K$87,BF8&lt;=Inputs!$K$93),1/(Inputs!$K$93-Inputs!$K$87+1),0)</f>
        <v>0</v>
      </c>
      <c r="BG25" s="22">
        <f>IF(AND(BG8&gt;=Inputs!$K$87,BG8&lt;=Inputs!$K$93),1/(Inputs!$K$93-Inputs!$K$87+1),0)</f>
        <v>0</v>
      </c>
      <c r="BH25" s="22">
        <f>IF(AND(BH8&gt;=Inputs!$K$87,BH8&lt;=Inputs!$K$93),1/(Inputs!$K$93-Inputs!$K$87+1),0)</f>
        <v>0</v>
      </c>
      <c r="BI25" s="22">
        <f>IF(AND(BI8&gt;=Inputs!$K$87,BI8&lt;=Inputs!$K$93),1/(Inputs!$K$93-Inputs!$K$87+1),0)</f>
        <v>0</v>
      </c>
      <c r="BJ25" s="22">
        <f>IF(AND(BJ8&gt;=Inputs!$K$87,BJ8&lt;=Inputs!$K$93),1/(Inputs!$K$93-Inputs!$K$87+1),0)</f>
        <v>0</v>
      </c>
      <c r="BK25" s="22">
        <f>IF(AND(BK8&gt;=Inputs!$K$87,BK8&lt;=Inputs!$K$93),1/(Inputs!$K$93-Inputs!$K$87+1),0)</f>
        <v>0</v>
      </c>
    </row>
    <row r="26" spans="1:63" s="5" customFormat="1">
      <c r="A26" s="13" t="s">
        <v>203</v>
      </c>
      <c r="B26" s="23">
        <f>SUM(C26:BK26)</f>
        <v>-3002000</v>
      </c>
      <c r="C26" s="26">
        <f>-C25*Inputs!$K$46</f>
        <v>-158000</v>
      </c>
      <c r="D26" s="26">
        <f>-D25*Inputs!$K$46</f>
        <v>-158000</v>
      </c>
      <c r="E26" s="26">
        <f>-E25*Inputs!$K$46</f>
        <v>-158000</v>
      </c>
      <c r="F26" s="26">
        <f>-F25*Inputs!$K$46</f>
        <v>-158000</v>
      </c>
      <c r="G26" s="26">
        <f>-G25*Inputs!$K$46</f>
        <v>-158000</v>
      </c>
      <c r="H26" s="26">
        <f>-H25*Inputs!$K$46</f>
        <v>-158000</v>
      </c>
      <c r="I26" s="26">
        <f>-I25*Inputs!$K$46</f>
        <v>-158000</v>
      </c>
      <c r="J26" s="26">
        <f>-J25*Inputs!$K$46</f>
        <v>-158000</v>
      </c>
      <c r="K26" s="26">
        <f>-K25*Inputs!$K$46</f>
        <v>-158000</v>
      </c>
      <c r="L26" s="26">
        <f>-L25*Inputs!$K$46</f>
        <v>-158000</v>
      </c>
      <c r="M26" s="26">
        <f>-M25*Inputs!$K$46</f>
        <v>-158000</v>
      </c>
      <c r="N26" s="26">
        <f>-N25*Inputs!$K$46</f>
        <v>-158000</v>
      </c>
      <c r="O26" s="26">
        <f>-O25*Inputs!$K$46</f>
        <v>-158000</v>
      </c>
      <c r="P26" s="26">
        <f>-P25*Inputs!$K$46</f>
        <v>-158000</v>
      </c>
      <c r="Q26" s="26">
        <f>-Q25*Inputs!$K$46</f>
        <v>-158000</v>
      </c>
      <c r="R26" s="26">
        <f>-R25*Inputs!$K$46</f>
        <v>-158000</v>
      </c>
      <c r="S26" s="26">
        <f>-S25*Inputs!$K$46</f>
        <v>-158000</v>
      </c>
      <c r="T26" s="26">
        <f>-T25*Inputs!$K$46</f>
        <v>-158000</v>
      </c>
      <c r="U26" s="26">
        <f>-U25*Inputs!$K$46</f>
        <v>-158000</v>
      </c>
      <c r="V26" s="26">
        <f>-V25*Inputs!$K$46</f>
        <v>0</v>
      </c>
      <c r="W26" s="26">
        <f>-W25*Inputs!$K$46</f>
        <v>0</v>
      </c>
      <c r="X26" s="26">
        <f>-X25*Inputs!$K$46</f>
        <v>0</v>
      </c>
      <c r="Y26" s="26">
        <f>-Y25*Inputs!$K$46</f>
        <v>0</v>
      </c>
      <c r="Z26" s="26">
        <f>-Z25*Inputs!$K$46</f>
        <v>0</v>
      </c>
      <c r="AA26" s="26">
        <f>-AA25*Inputs!$K$46</f>
        <v>0</v>
      </c>
      <c r="AB26" s="26">
        <f>-AB25*Inputs!$K$46</f>
        <v>0</v>
      </c>
      <c r="AC26" s="26">
        <f>-AC25*Inputs!$K$46</f>
        <v>0</v>
      </c>
      <c r="AD26" s="26">
        <f>-AD25*Inputs!$K$46</f>
        <v>0</v>
      </c>
      <c r="AE26" s="26">
        <f>-AE25*Inputs!$K$46</f>
        <v>0</v>
      </c>
      <c r="AF26" s="26">
        <f>-AF25*Inputs!$K$46</f>
        <v>0</v>
      </c>
      <c r="AG26" s="26">
        <f>-AG25*Inputs!$K$46</f>
        <v>0</v>
      </c>
      <c r="AH26" s="26">
        <f>-AH25*Inputs!$K$46</f>
        <v>0</v>
      </c>
      <c r="AI26" s="26">
        <f>-AI25*Inputs!$K$46</f>
        <v>0</v>
      </c>
      <c r="AJ26" s="26">
        <f>-AJ25*Inputs!$K$46</f>
        <v>0</v>
      </c>
      <c r="AK26" s="26">
        <f>-AK25*Inputs!$K$46</f>
        <v>0</v>
      </c>
      <c r="AL26" s="26">
        <f>-AL25*Inputs!$K$46</f>
        <v>0</v>
      </c>
      <c r="AM26" s="26">
        <f>-AM25*Inputs!$K$46</f>
        <v>0</v>
      </c>
      <c r="AN26" s="26">
        <f>-AN25*Inputs!$K$46</f>
        <v>0</v>
      </c>
      <c r="AO26" s="26">
        <f>-AO25*Inputs!$K$46</f>
        <v>0</v>
      </c>
      <c r="AP26" s="26">
        <f>-AP25*Inputs!$K$46</f>
        <v>0</v>
      </c>
      <c r="AQ26" s="26">
        <f>-AQ25*Inputs!$K$46</f>
        <v>0</v>
      </c>
      <c r="AR26" s="26">
        <f>-AR25*Inputs!$K$46</f>
        <v>0</v>
      </c>
      <c r="AS26" s="26">
        <f>-AS25*Inputs!$K$46</f>
        <v>0</v>
      </c>
      <c r="AT26" s="26">
        <f>-AT25*Inputs!$K$46</f>
        <v>0</v>
      </c>
      <c r="AU26" s="26">
        <f>-AU25*Inputs!$K$46</f>
        <v>0</v>
      </c>
      <c r="AV26" s="26">
        <f>-AV25*Inputs!$K$46</f>
        <v>0</v>
      </c>
      <c r="AW26" s="26">
        <f>-AW25*Inputs!$K$46</f>
        <v>0</v>
      </c>
      <c r="AX26" s="26">
        <f>-AX25*Inputs!$K$46</f>
        <v>0</v>
      </c>
      <c r="AY26" s="26">
        <f>-AY25*Inputs!$K$46</f>
        <v>0</v>
      </c>
      <c r="AZ26" s="26">
        <f>-AZ25*Inputs!$K$46</f>
        <v>0</v>
      </c>
      <c r="BA26" s="26">
        <f>-BA25*Inputs!$K$46</f>
        <v>0</v>
      </c>
      <c r="BB26" s="26">
        <f>-BB25*Inputs!$K$46</f>
        <v>0</v>
      </c>
      <c r="BC26" s="26">
        <f>-BC25*Inputs!$K$46</f>
        <v>0</v>
      </c>
      <c r="BD26" s="26">
        <f>-BD25*Inputs!$K$46</f>
        <v>0</v>
      </c>
      <c r="BE26" s="26">
        <f>-BE25*Inputs!$K$46</f>
        <v>0</v>
      </c>
      <c r="BF26" s="26">
        <f>-BF25*Inputs!$K$46</f>
        <v>0</v>
      </c>
      <c r="BG26" s="26">
        <f>-BG25*Inputs!$K$46</f>
        <v>0</v>
      </c>
      <c r="BH26" s="26">
        <f>-BH25*Inputs!$K$46</f>
        <v>0</v>
      </c>
      <c r="BI26" s="26">
        <f>-BI25*Inputs!$K$46</f>
        <v>0</v>
      </c>
      <c r="BJ26" s="26">
        <f>-BJ25*Inputs!$K$46</f>
        <v>0</v>
      </c>
      <c r="BK26" s="26">
        <f>-BK25*Inputs!$K$46</f>
        <v>0</v>
      </c>
    </row>
    <row r="27" spans="1:63" s="5" customFormat="1">
      <c r="A27" s="11"/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s="5" customFormat="1">
      <c r="A28" s="5" t="s">
        <v>32</v>
      </c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s="5" customFormat="1">
      <c r="A29" s="11" t="s">
        <v>152</v>
      </c>
      <c r="B29" s="49">
        <f ca="1">SUM(C29:XFD29)</f>
        <v>-208485.78683546215</v>
      </c>
      <c r="C29" s="15">
        <f ca="1">-Inputs!K50</f>
        <v>-208485.78697437741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s="98" customFormat="1">
      <c r="A30" s="11" t="s">
        <v>204</v>
      </c>
      <c r="B30" s="49">
        <f ca="1">SUM(C30:BK30)</f>
        <v>-835274.30067054683</v>
      </c>
      <c r="C30" s="21">
        <f t="shared" ref="C30:AH30" ca="1" si="8">IF(C65=0,C49,0)</f>
        <v>0</v>
      </c>
      <c r="D30" s="21">
        <f t="shared" ca="1" si="8"/>
        <v>0</v>
      </c>
      <c r="E30" s="21">
        <f t="shared" ca="1" si="8"/>
        <v>0</v>
      </c>
      <c r="F30" s="21">
        <f t="shared" ca="1" si="8"/>
        <v>0</v>
      </c>
      <c r="G30" s="21">
        <f t="shared" ca="1" si="8"/>
        <v>0</v>
      </c>
      <c r="H30" s="21">
        <f t="shared" ca="1" si="8"/>
        <v>0</v>
      </c>
      <c r="I30" s="21">
        <f t="shared" ca="1" si="8"/>
        <v>0</v>
      </c>
      <c r="J30" s="21">
        <f t="shared" ca="1" si="8"/>
        <v>0</v>
      </c>
      <c r="K30" s="21">
        <f t="shared" ca="1" si="8"/>
        <v>0</v>
      </c>
      <c r="L30" s="21">
        <f t="shared" ca="1" si="8"/>
        <v>-7244.509002172882</v>
      </c>
      <c r="M30" s="21">
        <f t="shared" ca="1" si="8"/>
        <v>-28085.076369371065</v>
      </c>
      <c r="N30" s="21">
        <f t="shared" ca="1" si="8"/>
        <v>-49065.51331430758</v>
      </c>
      <c r="O30" s="21">
        <f t="shared" ca="1" si="8"/>
        <v>-70186.758558992457</v>
      </c>
      <c r="P30" s="21">
        <f t="shared" ca="1" si="8"/>
        <v>-91449.757125583361</v>
      </c>
      <c r="Q30" s="21">
        <f t="shared" ca="1" si="8"/>
        <v>-100170.89662027934</v>
      </c>
      <c r="R30" s="21">
        <f t="shared" ca="1" si="8"/>
        <v>-108950.56725066314</v>
      </c>
      <c r="S30" s="21">
        <f t="shared" ca="1" si="8"/>
        <v>-117789.16184316044</v>
      </c>
      <c r="T30" s="21">
        <f t="shared" ca="1" si="8"/>
        <v>-126687.07586061578</v>
      </c>
      <c r="U30" s="21">
        <f t="shared" ca="1" si="8"/>
        <v>-135644.70741998669</v>
      </c>
      <c r="V30" s="21">
        <f t="shared" si="8"/>
        <v>0</v>
      </c>
      <c r="W30" s="21">
        <f t="shared" si="8"/>
        <v>0</v>
      </c>
      <c r="X30" s="21">
        <f t="shared" si="8"/>
        <v>0</v>
      </c>
      <c r="Y30" s="21">
        <f t="shared" si="8"/>
        <v>0</v>
      </c>
      <c r="Z30" s="21">
        <f t="shared" si="8"/>
        <v>0</v>
      </c>
      <c r="AA30" s="21">
        <f t="shared" si="8"/>
        <v>0</v>
      </c>
      <c r="AB30" s="21">
        <f t="shared" si="8"/>
        <v>0</v>
      </c>
      <c r="AC30" s="21">
        <f t="shared" si="8"/>
        <v>0</v>
      </c>
      <c r="AD30" s="21">
        <f t="shared" si="8"/>
        <v>0</v>
      </c>
      <c r="AE30" s="21">
        <f t="shared" si="8"/>
        <v>0</v>
      </c>
      <c r="AF30" s="21">
        <f t="shared" si="8"/>
        <v>0</v>
      </c>
      <c r="AG30" s="21">
        <f t="shared" si="8"/>
        <v>0</v>
      </c>
      <c r="AH30" s="21">
        <f t="shared" si="8"/>
        <v>0</v>
      </c>
      <c r="AI30" s="21">
        <f t="shared" ref="AI30:BK30" si="9">IF(AI65=0,AI49,0)</f>
        <v>0</v>
      </c>
      <c r="AJ30" s="21">
        <f t="shared" si="9"/>
        <v>0</v>
      </c>
      <c r="AK30" s="21">
        <f t="shared" si="9"/>
        <v>0</v>
      </c>
      <c r="AL30" s="21">
        <f t="shared" si="9"/>
        <v>0</v>
      </c>
      <c r="AM30" s="21">
        <f t="shared" si="9"/>
        <v>0</v>
      </c>
      <c r="AN30" s="21">
        <f t="shared" si="9"/>
        <v>0</v>
      </c>
      <c r="AO30" s="21">
        <f t="shared" si="9"/>
        <v>0</v>
      </c>
      <c r="AP30" s="21">
        <f t="shared" si="9"/>
        <v>0</v>
      </c>
      <c r="AQ30" s="21">
        <f t="shared" si="9"/>
        <v>0</v>
      </c>
      <c r="AR30" s="21">
        <f t="shared" si="9"/>
        <v>0</v>
      </c>
      <c r="AS30" s="21">
        <f t="shared" si="9"/>
        <v>0</v>
      </c>
      <c r="AT30" s="21">
        <f t="shared" si="9"/>
        <v>0</v>
      </c>
      <c r="AU30" s="21">
        <f t="shared" si="9"/>
        <v>0</v>
      </c>
      <c r="AV30" s="21">
        <f t="shared" si="9"/>
        <v>0</v>
      </c>
      <c r="AW30" s="21">
        <f t="shared" si="9"/>
        <v>0</v>
      </c>
      <c r="AX30" s="21">
        <f t="shared" si="9"/>
        <v>0</v>
      </c>
      <c r="AY30" s="21">
        <f t="shared" si="9"/>
        <v>0</v>
      </c>
      <c r="AZ30" s="21">
        <f t="shared" si="9"/>
        <v>0</v>
      </c>
      <c r="BA30" s="21">
        <f t="shared" si="9"/>
        <v>0</v>
      </c>
      <c r="BB30" s="21">
        <f t="shared" si="9"/>
        <v>0</v>
      </c>
      <c r="BC30" s="21">
        <f t="shared" si="9"/>
        <v>0</v>
      </c>
      <c r="BD30" s="21">
        <f t="shared" si="9"/>
        <v>0</v>
      </c>
      <c r="BE30" s="21">
        <f t="shared" si="9"/>
        <v>0</v>
      </c>
      <c r="BF30" s="21">
        <f t="shared" si="9"/>
        <v>0</v>
      </c>
      <c r="BG30" s="21">
        <f t="shared" si="9"/>
        <v>0</v>
      </c>
      <c r="BH30" s="21">
        <f t="shared" si="9"/>
        <v>0</v>
      </c>
      <c r="BI30" s="21">
        <f t="shared" si="9"/>
        <v>0</v>
      </c>
      <c r="BJ30" s="21">
        <f t="shared" si="9"/>
        <v>0</v>
      </c>
      <c r="BK30" s="21">
        <f t="shared" si="9"/>
        <v>0</v>
      </c>
    </row>
    <row r="31" spans="1:63" s="98" customFormat="1">
      <c r="A31" s="11" t="s">
        <v>144</v>
      </c>
      <c r="B31" s="49">
        <f ca="1">SUM(C31:BK31)</f>
        <v>-501871.51584706298</v>
      </c>
      <c r="C31" s="21">
        <f>IF(C72&lt;0,C72,0)</f>
        <v>0</v>
      </c>
      <c r="D31" s="21">
        <f t="shared" ref="D31:BK31" si="10">IF(D72&lt;0,D72,0)</f>
        <v>0</v>
      </c>
      <c r="E31" s="21">
        <f t="shared" si="10"/>
        <v>0</v>
      </c>
      <c r="F31" s="21">
        <f t="shared" si="10"/>
        <v>0</v>
      </c>
      <c r="G31" s="21">
        <f t="shared" si="10"/>
        <v>0</v>
      </c>
      <c r="H31" s="21">
        <f t="shared" si="10"/>
        <v>0</v>
      </c>
      <c r="I31" s="21">
        <f t="shared" si="10"/>
        <v>0</v>
      </c>
      <c r="J31" s="21">
        <f>IF(J72&lt;0,J72,0)</f>
        <v>0</v>
      </c>
      <c r="K31" s="21">
        <f t="shared" si="10"/>
        <v>0</v>
      </c>
      <c r="L31" s="21">
        <f t="shared" si="10"/>
        <v>0</v>
      </c>
      <c r="M31" s="21">
        <f t="shared" si="10"/>
        <v>0</v>
      </c>
      <c r="N31" s="21">
        <f t="shared" si="10"/>
        <v>0</v>
      </c>
      <c r="O31" s="21">
        <f t="shared" si="10"/>
        <v>0</v>
      </c>
      <c r="P31" s="21">
        <f t="shared" si="10"/>
        <v>0</v>
      </c>
      <c r="Q31" s="21">
        <f t="shared" si="10"/>
        <v>0</v>
      </c>
      <c r="R31" s="21">
        <f t="shared" si="10"/>
        <v>0</v>
      </c>
      <c r="S31" s="21">
        <f t="shared" si="10"/>
        <v>0</v>
      </c>
      <c r="T31" s="21">
        <f t="shared" si="10"/>
        <v>0</v>
      </c>
      <c r="U31" s="21">
        <f t="shared" si="10"/>
        <v>0</v>
      </c>
      <c r="V31" s="21">
        <f t="shared" ca="1" si="10"/>
        <v>-119914.19160650723</v>
      </c>
      <c r="W31" s="21">
        <f t="shared" ca="1" si="10"/>
        <v>-104078.10185959096</v>
      </c>
      <c r="X31" s="21">
        <f t="shared" ca="1" si="10"/>
        <v>-88135.729629360299</v>
      </c>
      <c r="Y31" s="21">
        <f t="shared" ca="1" si="10"/>
        <v>-72086.361610569555</v>
      </c>
      <c r="Z31" s="21">
        <f t="shared" ca="1" si="10"/>
        <v>-55929.279710689385</v>
      </c>
      <c r="AA31" s="21">
        <f t="shared" ca="1" si="10"/>
        <v>-39663.761017777375</v>
      </c>
      <c r="AB31" s="21">
        <f t="shared" ca="1" si="10"/>
        <v>-19553.590032054315</v>
      </c>
      <c r="AC31" s="21">
        <f t="shared" ca="1" si="10"/>
        <v>-2510.2980850088934</v>
      </c>
      <c r="AD31" s="21">
        <f t="shared" ca="1" si="10"/>
        <v>0</v>
      </c>
      <c r="AE31" s="21">
        <f t="shared" ca="1" si="10"/>
        <v>0</v>
      </c>
      <c r="AF31" s="21">
        <f t="shared" ca="1" si="10"/>
        <v>0</v>
      </c>
      <c r="AG31" s="21">
        <f t="shared" si="10"/>
        <v>0</v>
      </c>
      <c r="AH31" s="21">
        <f t="shared" si="10"/>
        <v>0</v>
      </c>
      <c r="AI31" s="21">
        <f t="shared" si="10"/>
        <v>0</v>
      </c>
      <c r="AJ31" s="21">
        <f t="shared" si="10"/>
        <v>0</v>
      </c>
      <c r="AK31" s="21">
        <f t="shared" si="10"/>
        <v>0</v>
      </c>
      <c r="AL31" s="21">
        <f t="shared" si="10"/>
        <v>0</v>
      </c>
      <c r="AM31" s="21">
        <f t="shared" si="10"/>
        <v>0</v>
      </c>
      <c r="AN31" s="21">
        <f t="shared" si="10"/>
        <v>0</v>
      </c>
      <c r="AO31" s="21">
        <f t="shared" si="10"/>
        <v>0</v>
      </c>
      <c r="AP31" s="21">
        <f t="shared" si="10"/>
        <v>0</v>
      </c>
      <c r="AQ31" s="21">
        <f t="shared" si="10"/>
        <v>0</v>
      </c>
      <c r="AR31" s="21">
        <f t="shared" si="10"/>
        <v>0</v>
      </c>
      <c r="AS31" s="21">
        <f t="shared" si="10"/>
        <v>0</v>
      </c>
      <c r="AT31" s="21">
        <f t="shared" si="10"/>
        <v>0</v>
      </c>
      <c r="AU31" s="21">
        <f t="shared" si="10"/>
        <v>0</v>
      </c>
      <c r="AV31" s="21">
        <f t="shared" si="10"/>
        <v>0</v>
      </c>
      <c r="AW31" s="21">
        <f t="shared" si="10"/>
        <v>0</v>
      </c>
      <c r="AX31" s="21">
        <f t="shared" si="10"/>
        <v>0</v>
      </c>
      <c r="AY31" s="21">
        <f t="shared" si="10"/>
        <v>0</v>
      </c>
      <c r="AZ31" s="21">
        <f t="shared" si="10"/>
        <v>0</v>
      </c>
      <c r="BA31" s="21">
        <f t="shared" si="10"/>
        <v>0</v>
      </c>
      <c r="BB31" s="21">
        <f t="shared" si="10"/>
        <v>0</v>
      </c>
      <c r="BC31" s="21">
        <f t="shared" si="10"/>
        <v>0</v>
      </c>
      <c r="BD31" s="21">
        <f t="shared" si="10"/>
        <v>0</v>
      </c>
      <c r="BE31" s="21">
        <f t="shared" si="10"/>
        <v>0</v>
      </c>
      <c r="BF31" s="21">
        <f t="shared" si="10"/>
        <v>0</v>
      </c>
      <c r="BG31" s="21">
        <f t="shared" si="10"/>
        <v>0</v>
      </c>
      <c r="BH31" s="21">
        <f t="shared" si="10"/>
        <v>0</v>
      </c>
      <c r="BI31" s="21">
        <f t="shared" si="10"/>
        <v>0</v>
      </c>
      <c r="BJ31" s="21">
        <f t="shared" si="10"/>
        <v>0</v>
      </c>
      <c r="BK31" s="21">
        <f t="shared" si="10"/>
        <v>0</v>
      </c>
    </row>
    <row r="32" spans="1:63" s="5" customFormat="1">
      <c r="A32" s="13" t="s">
        <v>205</v>
      </c>
      <c r="B32" s="23">
        <f ca="1">SUM(C32:BK32)</f>
        <v>-1545631.6033530724</v>
      </c>
      <c r="C32" s="26">
        <f ca="1">SUM(C29:C31)</f>
        <v>-208485.78697437741</v>
      </c>
      <c r="D32" s="26">
        <f t="shared" ref="D32:BK32" ca="1" si="11">SUM(D29:D31)</f>
        <v>0</v>
      </c>
      <c r="E32" s="26">
        <f t="shared" ca="1" si="11"/>
        <v>0</v>
      </c>
      <c r="F32" s="26">
        <f t="shared" ca="1" si="11"/>
        <v>0</v>
      </c>
      <c r="G32" s="26">
        <f t="shared" ca="1" si="11"/>
        <v>0</v>
      </c>
      <c r="H32" s="26">
        <f t="shared" ca="1" si="11"/>
        <v>0</v>
      </c>
      <c r="I32" s="26">
        <f t="shared" ca="1" si="11"/>
        <v>0</v>
      </c>
      <c r="J32" s="26">
        <f t="shared" ca="1" si="11"/>
        <v>0</v>
      </c>
      <c r="K32" s="26">
        <f t="shared" ca="1" si="11"/>
        <v>0</v>
      </c>
      <c r="L32" s="26">
        <f t="shared" ca="1" si="11"/>
        <v>-7244.509002172882</v>
      </c>
      <c r="M32" s="26">
        <f t="shared" ca="1" si="11"/>
        <v>-28085.076369371065</v>
      </c>
      <c r="N32" s="26">
        <f t="shared" ca="1" si="11"/>
        <v>-49065.51331430758</v>
      </c>
      <c r="O32" s="26">
        <f t="shared" ca="1" si="11"/>
        <v>-70186.758558992457</v>
      </c>
      <c r="P32" s="26">
        <f t="shared" ca="1" si="11"/>
        <v>-91449.757125583361</v>
      </c>
      <c r="Q32" s="26">
        <f t="shared" ca="1" si="11"/>
        <v>-100170.89662027934</v>
      </c>
      <c r="R32" s="26">
        <f t="shared" ca="1" si="11"/>
        <v>-108950.56725066314</v>
      </c>
      <c r="S32" s="26">
        <f t="shared" ca="1" si="11"/>
        <v>-117789.16184316044</v>
      </c>
      <c r="T32" s="26">
        <f t="shared" ca="1" si="11"/>
        <v>-126687.07586061578</v>
      </c>
      <c r="U32" s="26">
        <f t="shared" ca="1" si="11"/>
        <v>-135644.70741998669</v>
      </c>
      <c r="V32" s="26">
        <f t="shared" ca="1" si="11"/>
        <v>-119914.19160650723</v>
      </c>
      <c r="W32" s="26">
        <f t="shared" ca="1" si="11"/>
        <v>-104078.10185959096</v>
      </c>
      <c r="X32" s="26">
        <f t="shared" ca="1" si="11"/>
        <v>-88135.729629360299</v>
      </c>
      <c r="Y32" s="26">
        <f t="shared" ca="1" si="11"/>
        <v>-72086.361610569555</v>
      </c>
      <c r="Z32" s="26">
        <f t="shared" ca="1" si="11"/>
        <v>-55929.279710689385</v>
      </c>
      <c r="AA32" s="26">
        <f t="shared" ca="1" si="11"/>
        <v>-39663.761017777375</v>
      </c>
      <c r="AB32" s="26">
        <f t="shared" ca="1" si="11"/>
        <v>-19553.590032054315</v>
      </c>
      <c r="AC32" s="26">
        <f t="shared" ca="1" si="11"/>
        <v>-2510.2980850088934</v>
      </c>
      <c r="AD32" s="26">
        <f t="shared" ca="1" si="11"/>
        <v>0</v>
      </c>
      <c r="AE32" s="26">
        <f t="shared" ca="1" si="11"/>
        <v>0</v>
      </c>
      <c r="AF32" s="26">
        <f t="shared" ca="1" si="11"/>
        <v>0</v>
      </c>
      <c r="AG32" s="26">
        <f t="shared" si="11"/>
        <v>0</v>
      </c>
      <c r="AH32" s="26">
        <f t="shared" si="11"/>
        <v>0</v>
      </c>
      <c r="AI32" s="26">
        <f t="shared" si="11"/>
        <v>0</v>
      </c>
      <c r="AJ32" s="26">
        <f t="shared" si="11"/>
        <v>0</v>
      </c>
      <c r="AK32" s="26">
        <f t="shared" si="11"/>
        <v>0</v>
      </c>
      <c r="AL32" s="26">
        <f t="shared" si="11"/>
        <v>0</v>
      </c>
      <c r="AM32" s="26">
        <f t="shared" si="11"/>
        <v>0</v>
      </c>
      <c r="AN32" s="26">
        <f t="shared" si="11"/>
        <v>0</v>
      </c>
      <c r="AO32" s="26">
        <f t="shared" si="11"/>
        <v>0</v>
      </c>
      <c r="AP32" s="26">
        <f t="shared" si="11"/>
        <v>0</v>
      </c>
      <c r="AQ32" s="26">
        <f t="shared" si="11"/>
        <v>0</v>
      </c>
      <c r="AR32" s="26">
        <f t="shared" si="11"/>
        <v>0</v>
      </c>
      <c r="AS32" s="26">
        <f t="shared" si="11"/>
        <v>0</v>
      </c>
      <c r="AT32" s="26">
        <f t="shared" si="11"/>
        <v>0</v>
      </c>
      <c r="AU32" s="26">
        <f t="shared" si="11"/>
        <v>0</v>
      </c>
      <c r="AV32" s="26">
        <f t="shared" si="11"/>
        <v>0</v>
      </c>
      <c r="AW32" s="26">
        <f t="shared" si="11"/>
        <v>0</v>
      </c>
      <c r="AX32" s="26">
        <f t="shared" si="11"/>
        <v>0</v>
      </c>
      <c r="AY32" s="26">
        <f t="shared" si="11"/>
        <v>0</v>
      </c>
      <c r="AZ32" s="26">
        <f t="shared" si="11"/>
        <v>0</v>
      </c>
      <c r="BA32" s="26">
        <f t="shared" si="11"/>
        <v>0</v>
      </c>
      <c r="BB32" s="26">
        <f t="shared" si="11"/>
        <v>0</v>
      </c>
      <c r="BC32" s="26">
        <f t="shared" si="11"/>
        <v>0</v>
      </c>
      <c r="BD32" s="26">
        <f t="shared" si="11"/>
        <v>0</v>
      </c>
      <c r="BE32" s="26">
        <f t="shared" si="11"/>
        <v>0</v>
      </c>
      <c r="BF32" s="26">
        <f t="shared" si="11"/>
        <v>0</v>
      </c>
      <c r="BG32" s="26">
        <f t="shared" si="11"/>
        <v>0</v>
      </c>
      <c r="BH32" s="26">
        <f t="shared" si="11"/>
        <v>0</v>
      </c>
      <c r="BI32" s="26">
        <f t="shared" si="11"/>
        <v>0</v>
      </c>
      <c r="BJ32" s="26">
        <f t="shared" si="11"/>
        <v>0</v>
      </c>
      <c r="BK32" s="26">
        <f t="shared" si="11"/>
        <v>0</v>
      </c>
    </row>
    <row r="33" spans="1:63" s="5" customFormat="1">
      <c r="A33" s="11"/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1:63" s="5" customFormat="1" ht="16" thickBot="1">
      <c r="A34" s="14" t="s">
        <v>206</v>
      </c>
      <c r="B34" s="27">
        <f ca="1">SUM(C34:BK34)</f>
        <v>-34747631.603353091</v>
      </c>
      <c r="C34" s="28">
        <f ca="1">C26+C22+C15+C32</f>
        <v>-5366485.786974377</v>
      </c>
      <c r="D34" s="28">
        <f t="shared" ref="D34:BK34" ca="1" si="12">D26+D22+D15+D32</f>
        <v>-158000</v>
      </c>
      <c r="E34" s="28">
        <f t="shared" ca="1" si="12"/>
        <v>-158000</v>
      </c>
      <c r="F34" s="28">
        <f t="shared" ca="1" si="12"/>
        <v>-158000</v>
      </c>
      <c r="G34" s="28">
        <f t="shared" ca="1" si="12"/>
        <v>-158000</v>
      </c>
      <c r="H34" s="28">
        <f t="shared" ca="1" si="12"/>
        <v>-158000</v>
      </c>
      <c r="I34" s="28">
        <f t="shared" ca="1" si="12"/>
        <v>-158000</v>
      </c>
      <c r="J34" s="28">
        <f t="shared" ca="1" si="12"/>
        <v>-1208000</v>
      </c>
      <c r="K34" s="28">
        <f t="shared" ca="1" si="12"/>
        <v>-4358000</v>
      </c>
      <c r="L34" s="28">
        <f t="shared" ca="1" si="12"/>
        <v>-3105244.5090021729</v>
      </c>
      <c r="M34" s="28">
        <f t="shared" ca="1" si="12"/>
        <v>-3126085.0763693713</v>
      </c>
      <c r="N34" s="28">
        <f t="shared" ca="1" si="12"/>
        <v>-3147065.5133143077</v>
      </c>
      <c r="O34" s="28">
        <f t="shared" ca="1" si="12"/>
        <v>-3168186.7585589923</v>
      </c>
      <c r="P34" s="28">
        <f t="shared" ca="1" si="12"/>
        <v>-3189449.7571255835</v>
      </c>
      <c r="Q34" s="28">
        <f t="shared" ca="1" si="12"/>
        <v>-1308170.8966202794</v>
      </c>
      <c r="R34" s="28">
        <f t="shared" ca="1" si="12"/>
        <v>-1316950.5672506632</v>
      </c>
      <c r="S34" s="28">
        <f t="shared" ca="1" si="12"/>
        <v>-1325789.1618431604</v>
      </c>
      <c r="T34" s="28">
        <f t="shared" ca="1" si="12"/>
        <v>-1334687.0758606158</v>
      </c>
      <c r="U34" s="28">
        <f t="shared" ca="1" si="12"/>
        <v>-1343644.7074199866</v>
      </c>
      <c r="V34" s="28">
        <f t="shared" ca="1" si="12"/>
        <v>-119914.19160650723</v>
      </c>
      <c r="W34" s="28">
        <f t="shared" ca="1" si="12"/>
        <v>-104078.10185959096</v>
      </c>
      <c r="X34" s="28">
        <f t="shared" ca="1" si="12"/>
        <v>-88135.729629360299</v>
      </c>
      <c r="Y34" s="28">
        <f t="shared" ca="1" si="12"/>
        <v>-72086.361610569555</v>
      </c>
      <c r="Z34" s="28">
        <f t="shared" ca="1" si="12"/>
        <v>-55929.279710689385</v>
      </c>
      <c r="AA34" s="28">
        <f t="shared" ca="1" si="12"/>
        <v>-39663.761017777375</v>
      </c>
      <c r="AB34" s="28">
        <f t="shared" ca="1" si="12"/>
        <v>-19553.590032054315</v>
      </c>
      <c r="AC34" s="28">
        <f t="shared" ca="1" si="12"/>
        <v>-2510.2980850088934</v>
      </c>
      <c r="AD34" s="28">
        <f t="shared" ca="1" si="12"/>
        <v>0</v>
      </c>
      <c r="AE34" s="28">
        <f t="shared" ca="1" si="12"/>
        <v>0</v>
      </c>
      <c r="AF34" s="28">
        <f t="shared" ca="1" si="12"/>
        <v>0</v>
      </c>
      <c r="AG34" s="28">
        <f t="shared" si="12"/>
        <v>0</v>
      </c>
      <c r="AH34" s="28">
        <f t="shared" si="12"/>
        <v>0</v>
      </c>
      <c r="AI34" s="28">
        <f t="shared" si="12"/>
        <v>0</v>
      </c>
      <c r="AJ34" s="28">
        <f t="shared" si="12"/>
        <v>0</v>
      </c>
      <c r="AK34" s="28">
        <f t="shared" si="12"/>
        <v>0</v>
      </c>
      <c r="AL34" s="28">
        <f t="shared" si="12"/>
        <v>0</v>
      </c>
      <c r="AM34" s="28">
        <f t="shared" si="12"/>
        <v>0</v>
      </c>
      <c r="AN34" s="28">
        <f t="shared" si="12"/>
        <v>0</v>
      </c>
      <c r="AO34" s="28">
        <f t="shared" si="12"/>
        <v>0</v>
      </c>
      <c r="AP34" s="28">
        <f t="shared" si="12"/>
        <v>0</v>
      </c>
      <c r="AQ34" s="28">
        <f t="shared" si="12"/>
        <v>0</v>
      </c>
      <c r="AR34" s="28">
        <f t="shared" si="12"/>
        <v>0</v>
      </c>
      <c r="AS34" s="28">
        <f t="shared" si="12"/>
        <v>0</v>
      </c>
      <c r="AT34" s="28">
        <f t="shared" si="12"/>
        <v>0</v>
      </c>
      <c r="AU34" s="28">
        <f t="shared" si="12"/>
        <v>0</v>
      </c>
      <c r="AV34" s="28">
        <f t="shared" si="12"/>
        <v>0</v>
      </c>
      <c r="AW34" s="28">
        <f t="shared" si="12"/>
        <v>0</v>
      </c>
      <c r="AX34" s="28">
        <f t="shared" si="12"/>
        <v>0</v>
      </c>
      <c r="AY34" s="28">
        <f t="shared" si="12"/>
        <v>0</v>
      </c>
      <c r="AZ34" s="28">
        <f t="shared" si="12"/>
        <v>0</v>
      </c>
      <c r="BA34" s="28">
        <f t="shared" si="12"/>
        <v>0</v>
      </c>
      <c r="BB34" s="28">
        <f t="shared" si="12"/>
        <v>0</v>
      </c>
      <c r="BC34" s="28">
        <f t="shared" si="12"/>
        <v>0</v>
      </c>
      <c r="BD34" s="28">
        <f t="shared" si="12"/>
        <v>0</v>
      </c>
      <c r="BE34" s="28">
        <f t="shared" si="12"/>
        <v>0</v>
      </c>
      <c r="BF34" s="28">
        <f t="shared" si="12"/>
        <v>0</v>
      </c>
      <c r="BG34" s="28">
        <f t="shared" si="12"/>
        <v>0</v>
      </c>
      <c r="BH34" s="28">
        <f t="shared" si="12"/>
        <v>0</v>
      </c>
      <c r="BI34" s="28">
        <f t="shared" si="12"/>
        <v>0</v>
      </c>
      <c r="BJ34" s="28">
        <f t="shared" si="12"/>
        <v>0</v>
      </c>
      <c r="BK34" s="28">
        <f t="shared" si="12"/>
        <v>0</v>
      </c>
    </row>
    <row r="35" spans="1:63">
      <c r="A35" s="12" t="s">
        <v>207</v>
      </c>
      <c r="B35" s="24">
        <f ca="1">Inputs!K78</f>
        <v>34747630.866373971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</row>
    <row r="36" spans="1:63">
      <c r="A36" s="12"/>
      <c r="B36" s="2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1:63">
      <c r="A37" s="374" t="s">
        <v>208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</row>
    <row r="38" spans="1:6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</row>
    <row r="39" spans="1:63">
      <c r="A39" s="5" t="s">
        <v>36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</row>
    <row r="40" spans="1:63">
      <c r="A40" s="11" t="s">
        <v>209</v>
      </c>
      <c r="C40" s="29">
        <f ca="1">Inputs!K82</f>
        <v>13899051.936354931</v>
      </c>
      <c r="D40" s="17">
        <f t="shared" ref="D40:I40" ca="1" si="13">C42</f>
        <v>8532567.0657585338</v>
      </c>
      <c r="E40" s="17">
        <f t="shared" ca="1" si="13"/>
        <v>8374566.6933999732</v>
      </c>
      <c r="F40" s="17">
        <f t="shared" ca="1" si="13"/>
        <v>8216566.8052376956</v>
      </c>
      <c r="G40" s="17">
        <f t="shared" ca="1" si="13"/>
        <v>8058566.2221562322</v>
      </c>
      <c r="H40" s="17">
        <f t="shared" ca="1" si="13"/>
        <v>7900567.1023913771</v>
      </c>
      <c r="I40" s="17">
        <f t="shared" ca="1" si="13"/>
        <v>7742566.297907833</v>
      </c>
      <c r="J40" s="17">
        <f t="shared" ref="J40" ca="1" si="14">I42</f>
        <v>7584567.2481192313</v>
      </c>
      <c r="K40" s="17">
        <f t="shared" ref="K40" ca="1" si="15">J42</f>
        <v>6376566.7161339223</v>
      </c>
      <c r="L40" s="17">
        <f t="shared" ref="L40" ca="1" si="16">K42</f>
        <v>2018565.7165799495</v>
      </c>
      <c r="M40" s="17">
        <f t="shared" ref="M40" ca="1" si="17">L42</f>
        <v>0</v>
      </c>
      <c r="N40" s="17">
        <f t="shared" ref="N40" ca="1" si="18">M42</f>
        <v>0</v>
      </c>
      <c r="O40" s="17">
        <f t="shared" ref="O40" ca="1" si="19">N42</f>
        <v>0</v>
      </c>
      <c r="P40" s="17">
        <f t="shared" ref="P40" ca="1" si="20">O42</f>
        <v>0</v>
      </c>
      <c r="Q40" s="17">
        <f t="shared" ref="Q40" ca="1" si="21">P42</f>
        <v>0</v>
      </c>
      <c r="R40" s="17">
        <f t="shared" ref="R40" ca="1" si="22">Q42</f>
        <v>0</v>
      </c>
      <c r="S40" s="17">
        <f t="shared" ref="S40" ca="1" si="23">R42</f>
        <v>0</v>
      </c>
      <c r="T40" s="17">
        <f t="shared" ref="T40" ca="1" si="24">S42</f>
        <v>0</v>
      </c>
      <c r="U40" s="17">
        <f t="shared" ref="U40" ca="1" si="25">T42</f>
        <v>0</v>
      </c>
      <c r="V40" s="17">
        <f t="shared" ref="V40" ca="1" si="26">U42</f>
        <v>0</v>
      </c>
      <c r="W40" s="17">
        <f t="shared" ref="W40" ca="1" si="27">V42</f>
        <v>0</v>
      </c>
      <c r="X40" s="17">
        <f t="shared" ref="X40" ca="1" si="28">W42</f>
        <v>0</v>
      </c>
      <c r="Y40" s="17">
        <f t="shared" ref="Y40" ca="1" si="29">X42</f>
        <v>0</v>
      </c>
      <c r="Z40" s="17">
        <f t="shared" ref="Z40" ca="1" si="30">Y42</f>
        <v>0</v>
      </c>
      <c r="AA40" s="17">
        <f t="shared" ref="AA40" ca="1" si="31">Z42</f>
        <v>0</v>
      </c>
      <c r="AB40" s="17">
        <f t="shared" ref="AB40" ca="1" si="32">AA42</f>
        <v>0</v>
      </c>
      <c r="AC40" s="17">
        <f t="shared" ref="AC40" ca="1" si="33">AB42</f>
        <v>0</v>
      </c>
      <c r="AD40" s="17">
        <f t="shared" ref="AD40" ca="1" si="34">AC42</f>
        <v>0</v>
      </c>
      <c r="AE40" s="17">
        <f t="shared" ref="AE40" ca="1" si="35">AD42</f>
        <v>0</v>
      </c>
      <c r="AF40" s="17">
        <f t="shared" ref="AF40" ca="1" si="36">AE42</f>
        <v>0</v>
      </c>
      <c r="AG40" s="17">
        <f t="shared" ref="AG40" ca="1" si="37">AF42</f>
        <v>0</v>
      </c>
      <c r="AH40" s="17">
        <f t="shared" ref="AH40" ca="1" si="38">AG42</f>
        <v>0</v>
      </c>
      <c r="AI40" s="17">
        <f t="shared" ref="AI40" ca="1" si="39">AH42</f>
        <v>0</v>
      </c>
      <c r="AJ40" s="17">
        <f t="shared" ref="AJ40" ca="1" si="40">AI42</f>
        <v>0</v>
      </c>
      <c r="AK40" s="17">
        <f t="shared" ref="AK40" ca="1" si="41">AJ42</f>
        <v>0</v>
      </c>
      <c r="AL40" s="17">
        <f t="shared" ref="AL40" ca="1" si="42">AK42</f>
        <v>0</v>
      </c>
      <c r="AM40" s="17">
        <f t="shared" ref="AM40" ca="1" si="43">AL42</f>
        <v>0</v>
      </c>
      <c r="AN40" s="17">
        <f t="shared" ref="AN40" ca="1" si="44">AM42</f>
        <v>0</v>
      </c>
      <c r="AO40" s="17">
        <f t="shared" ref="AO40" ca="1" si="45">AN42</f>
        <v>0</v>
      </c>
      <c r="AP40" s="17">
        <f t="shared" ref="AP40" ca="1" si="46">AO42</f>
        <v>0</v>
      </c>
      <c r="AQ40" s="17">
        <f t="shared" ref="AQ40" ca="1" si="47">AP42</f>
        <v>0</v>
      </c>
      <c r="AR40" s="17">
        <f t="shared" ref="AR40" ca="1" si="48">AQ42</f>
        <v>0</v>
      </c>
      <c r="AS40" s="17">
        <f t="shared" ref="AS40" ca="1" si="49">AR42</f>
        <v>0</v>
      </c>
      <c r="AT40" s="17">
        <f t="shared" ref="AT40" ca="1" si="50">AS42</f>
        <v>0</v>
      </c>
      <c r="AU40" s="17">
        <f t="shared" ref="AU40" ca="1" si="51">AT42</f>
        <v>0</v>
      </c>
      <c r="AV40" s="17">
        <f t="shared" ref="AV40" ca="1" si="52">AU42</f>
        <v>0</v>
      </c>
      <c r="AW40" s="17">
        <f t="shared" ref="AW40" ca="1" si="53">AV42</f>
        <v>0</v>
      </c>
      <c r="AX40" s="17">
        <f t="shared" ref="AX40" ca="1" si="54">AW42</f>
        <v>0</v>
      </c>
      <c r="AY40" s="17">
        <f t="shared" ref="AY40" ca="1" si="55">AX42</f>
        <v>0</v>
      </c>
      <c r="AZ40" s="17">
        <f t="shared" ref="AZ40" ca="1" si="56">AY42</f>
        <v>0</v>
      </c>
      <c r="BA40" s="17">
        <f t="shared" ref="BA40" ca="1" si="57">AZ42</f>
        <v>0</v>
      </c>
      <c r="BB40" s="17">
        <f t="shared" ref="BB40" ca="1" si="58">BA42</f>
        <v>0</v>
      </c>
      <c r="BC40" s="17">
        <f t="shared" ref="BC40" ca="1" si="59">BB42</f>
        <v>0</v>
      </c>
      <c r="BD40" s="17">
        <f t="shared" ref="BD40" ca="1" si="60">BC42</f>
        <v>0</v>
      </c>
      <c r="BE40" s="17">
        <f t="shared" ref="BE40" ca="1" si="61">BD42</f>
        <v>0</v>
      </c>
      <c r="BF40" s="17">
        <f t="shared" ref="BF40" ca="1" si="62">BE42</f>
        <v>0</v>
      </c>
      <c r="BG40" s="17">
        <f t="shared" ref="BG40" ca="1" si="63">BF42</f>
        <v>0</v>
      </c>
      <c r="BH40" s="17">
        <f t="shared" ref="BH40" ca="1" si="64">BG42</f>
        <v>0</v>
      </c>
      <c r="BI40" s="17">
        <f t="shared" ref="BI40" ca="1" si="65">BH42</f>
        <v>0</v>
      </c>
      <c r="BJ40" s="17">
        <f t="shared" ref="BJ40" ca="1" si="66">BI42</f>
        <v>0</v>
      </c>
      <c r="BK40" s="17">
        <f t="shared" ref="BK40" ca="1" si="67">BJ42</f>
        <v>0</v>
      </c>
    </row>
    <row r="41" spans="1:63">
      <c r="A41" s="11" t="s">
        <v>210</v>
      </c>
      <c r="B41" s="30">
        <f ca="1">SUM(C41:BK41)</f>
        <v>-13899053.974508006</v>
      </c>
      <c r="C41" s="17">
        <f t="shared" ref="C41:I41" ca="1" si="68">IF(-C34&gt;C40,-C40,C34)</f>
        <v>-5366485.786974377</v>
      </c>
      <c r="D41" s="17">
        <f t="shared" ca="1" si="68"/>
        <v>-158000</v>
      </c>
      <c r="E41" s="17">
        <f t="shared" ca="1" si="68"/>
        <v>-158000</v>
      </c>
      <c r="F41" s="17">
        <f t="shared" ca="1" si="68"/>
        <v>-158000</v>
      </c>
      <c r="G41" s="17">
        <f t="shared" ca="1" si="68"/>
        <v>-158000</v>
      </c>
      <c r="H41" s="17">
        <f t="shared" ca="1" si="68"/>
        <v>-158000</v>
      </c>
      <c r="I41" s="17">
        <f t="shared" ca="1" si="68"/>
        <v>-158000</v>
      </c>
      <c r="J41" s="17">
        <f t="shared" ref="J41:BK41" ca="1" si="69">IF(-J34&gt;J40,-J40,J34)</f>
        <v>-1208000</v>
      </c>
      <c r="K41" s="17">
        <f t="shared" ca="1" si="69"/>
        <v>-4358000</v>
      </c>
      <c r="L41" s="17">
        <f t="shared" ca="1" si="69"/>
        <v>-2018565.7165799495</v>
      </c>
      <c r="M41" s="17">
        <f t="shared" ca="1" si="69"/>
        <v>0</v>
      </c>
      <c r="N41" s="17">
        <f t="shared" ca="1" si="69"/>
        <v>0</v>
      </c>
      <c r="O41" s="17">
        <f t="shared" ca="1" si="69"/>
        <v>0</v>
      </c>
      <c r="P41" s="17">
        <f t="shared" ca="1" si="69"/>
        <v>0</v>
      </c>
      <c r="Q41" s="17">
        <f t="shared" ca="1" si="69"/>
        <v>0</v>
      </c>
      <c r="R41" s="17">
        <f t="shared" ca="1" si="69"/>
        <v>0</v>
      </c>
      <c r="S41" s="17">
        <f t="shared" ca="1" si="69"/>
        <v>0</v>
      </c>
      <c r="T41" s="17">
        <f t="shared" ca="1" si="69"/>
        <v>0</v>
      </c>
      <c r="U41" s="17">
        <f t="shared" ca="1" si="69"/>
        <v>0</v>
      </c>
      <c r="V41" s="17">
        <f t="shared" ca="1" si="69"/>
        <v>0</v>
      </c>
      <c r="W41" s="17">
        <f t="shared" ca="1" si="69"/>
        <v>0</v>
      </c>
      <c r="X41" s="17">
        <f t="shared" ca="1" si="69"/>
        <v>0</v>
      </c>
      <c r="Y41" s="17">
        <f t="shared" ca="1" si="69"/>
        <v>0</v>
      </c>
      <c r="Z41" s="17">
        <f t="shared" ca="1" si="69"/>
        <v>0</v>
      </c>
      <c r="AA41" s="17">
        <f t="shared" ca="1" si="69"/>
        <v>0</v>
      </c>
      <c r="AB41" s="17">
        <f t="shared" ca="1" si="69"/>
        <v>0</v>
      </c>
      <c r="AC41" s="17">
        <f t="shared" ca="1" si="69"/>
        <v>0</v>
      </c>
      <c r="AD41" s="17">
        <f t="shared" ca="1" si="69"/>
        <v>0</v>
      </c>
      <c r="AE41" s="17">
        <f t="shared" ca="1" si="69"/>
        <v>0</v>
      </c>
      <c r="AF41" s="17">
        <f t="shared" ca="1" si="69"/>
        <v>0</v>
      </c>
      <c r="AG41" s="17">
        <f t="shared" ca="1" si="69"/>
        <v>0</v>
      </c>
      <c r="AH41" s="17">
        <f t="shared" ca="1" si="69"/>
        <v>0</v>
      </c>
      <c r="AI41" s="17">
        <f t="shared" ca="1" si="69"/>
        <v>0</v>
      </c>
      <c r="AJ41" s="17">
        <f t="shared" ca="1" si="69"/>
        <v>0</v>
      </c>
      <c r="AK41" s="17">
        <f t="shared" ca="1" si="69"/>
        <v>0</v>
      </c>
      <c r="AL41" s="17">
        <f t="shared" ca="1" si="69"/>
        <v>0</v>
      </c>
      <c r="AM41" s="17">
        <f t="shared" ca="1" si="69"/>
        <v>0</v>
      </c>
      <c r="AN41" s="17">
        <f t="shared" ca="1" si="69"/>
        <v>0</v>
      </c>
      <c r="AO41" s="17">
        <f t="shared" ca="1" si="69"/>
        <v>0</v>
      </c>
      <c r="AP41" s="17">
        <f t="shared" ca="1" si="69"/>
        <v>0</v>
      </c>
      <c r="AQ41" s="17">
        <f t="shared" ca="1" si="69"/>
        <v>0</v>
      </c>
      <c r="AR41" s="17">
        <f t="shared" ca="1" si="69"/>
        <v>0</v>
      </c>
      <c r="AS41" s="17">
        <f t="shared" ca="1" si="69"/>
        <v>0</v>
      </c>
      <c r="AT41" s="17">
        <f t="shared" ca="1" si="69"/>
        <v>0</v>
      </c>
      <c r="AU41" s="17">
        <f t="shared" ca="1" si="69"/>
        <v>0</v>
      </c>
      <c r="AV41" s="17">
        <f t="shared" ca="1" si="69"/>
        <v>0</v>
      </c>
      <c r="AW41" s="17">
        <f t="shared" ca="1" si="69"/>
        <v>0</v>
      </c>
      <c r="AX41" s="17">
        <f t="shared" ca="1" si="69"/>
        <v>0</v>
      </c>
      <c r="AY41" s="17">
        <f t="shared" ca="1" si="69"/>
        <v>0</v>
      </c>
      <c r="AZ41" s="17">
        <f t="shared" ca="1" si="69"/>
        <v>0</v>
      </c>
      <c r="BA41" s="17">
        <f t="shared" ca="1" si="69"/>
        <v>0</v>
      </c>
      <c r="BB41" s="17">
        <f t="shared" ca="1" si="69"/>
        <v>0</v>
      </c>
      <c r="BC41" s="17">
        <f t="shared" ca="1" si="69"/>
        <v>0</v>
      </c>
      <c r="BD41" s="17">
        <f t="shared" ca="1" si="69"/>
        <v>0</v>
      </c>
      <c r="BE41" s="17">
        <f t="shared" ca="1" si="69"/>
        <v>0</v>
      </c>
      <c r="BF41" s="17">
        <f t="shared" ca="1" si="69"/>
        <v>0</v>
      </c>
      <c r="BG41" s="17">
        <f t="shared" ca="1" si="69"/>
        <v>0</v>
      </c>
      <c r="BH41" s="17">
        <f t="shared" ca="1" si="69"/>
        <v>0</v>
      </c>
      <c r="BI41" s="17">
        <f t="shared" ca="1" si="69"/>
        <v>0</v>
      </c>
      <c r="BJ41" s="17">
        <f t="shared" ca="1" si="69"/>
        <v>0</v>
      </c>
      <c r="BK41" s="17">
        <f t="shared" ca="1" si="69"/>
        <v>0</v>
      </c>
    </row>
    <row r="42" spans="1:63">
      <c r="A42" s="11" t="s">
        <v>211</v>
      </c>
      <c r="C42" s="17">
        <f t="shared" ref="C42:I42" ca="1" si="70">SUM(C40:C41)</f>
        <v>8532566.1493805535</v>
      </c>
      <c r="D42" s="17">
        <f t="shared" ca="1" si="70"/>
        <v>8374567.0657585338</v>
      </c>
      <c r="E42" s="17">
        <f t="shared" ca="1" si="70"/>
        <v>8216566.6933999732</v>
      </c>
      <c r="F42" s="17">
        <f t="shared" ca="1" si="70"/>
        <v>8058566.8052376956</v>
      </c>
      <c r="G42" s="17">
        <f t="shared" ca="1" si="70"/>
        <v>7900566.2221562322</v>
      </c>
      <c r="H42" s="17">
        <f t="shared" ca="1" si="70"/>
        <v>7742567.1023913771</v>
      </c>
      <c r="I42" s="17">
        <f t="shared" ca="1" si="70"/>
        <v>7584566.297907833</v>
      </c>
      <c r="J42" s="17">
        <f t="shared" ref="J42:BK42" ca="1" si="71">SUM(J40:J41)</f>
        <v>6376567.2481192313</v>
      </c>
      <c r="K42" s="17">
        <f t="shared" ca="1" si="71"/>
        <v>2018566.7161339223</v>
      </c>
      <c r="L42" s="17">
        <f t="shared" ca="1" si="71"/>
        <v>0</v>
      </c>
      <c r="M42" s="17">
        <f t="shared" ca="1" si="71"/>
        <v>0</v>
      </c>
      <c r="N42" s="17">
        <f t="shared" ca="1" si="71"/>
        <v>0</v>
      </c>
      <c r="O42" s="17">
        <f t="shared" ca="1" si="71"/>
        <v>0</v>
      </c>
      <c r="P42" s="17">
        <f t="shared" ca="1" si="71"/>
        <v>0</v>
      </c>
      <c r="Q42" s="17">
        <f t="shared" ca="1" si="71"/>
        <v>0</v>
      </c>
      <c r="R42" s="17">
        <f t="shared" ca="1" si="71"/>
        <v>0</v>
      </c>
      <c r="S42" s="17">
        <f t="shared" ca="1" si="71"/>
        <v>0</v>
      </c>
      <c r="T42" s="17">
        <f t="shared" ca="1" si="71"/>
        <v>0</v>
      </c>
      <c r="U42" s="17">
        <f t="shared" ca="1" si="71"/>
        <v>0</v>
      </c>
      <c r="V42" s="17">
        <f t="shared" ca="1" si="71"/>
        <v>0</v>
      </c>
      <c r="W42" s="17">
        <f t="shared" ca="1" si="71"/>
        <v>0</v>
      </c>
      <c r="X42" s="17">
        <f t="shared" ca="1" si="71"/>
        <v>0</v>
      </c>
      <c r="Y42" s="17">
        <f t="shared" ca="1" si="71"/>
        <v>0</v>
      </c>
      <c r="Z42" s="17">
        <f t="shared" ca="1" si="71"/>
        <v>0</v>
      </c>
      <c r="AA42" s="17">
        <f t="shared" ca="1" si="71"/>
        <v>0</v>
      </c>
      <c r="AB42" s="17">
        <f t="shared" ca="1" si="71"/>
        <v>0</v>
      </c>
      <c r="AC42" s="17">
        <f t="shared" ca="1" si="71"/>
        <v>0</v>
      </c>
      <c r="AD42" s="17">
        <f t="shared" ca="1" si="71"/>
        <v>0</v>
      </c>
      <c r="AE42" s="17">
        <f t="shared" ca="1" si="71"/>
        <v>0</v>
      </c>
      <c r="AF42" s="17">
        <f t="shared" ca="1" si="71"/>
        <v>0</v>
      </c>
      <c r="AG42" s="17">
        <f t="shared" ca="1" si="71"/>
        <v>0</v>
      </c>
      <c r="AH42" s="17">
        <f t="shared" ca="1" si="71"/>
        <v>0</v>
      </c>
      <c r="AI42" s="17">
        <f t="shared" ca="1" si="71"/>
        <v>0</v>
      </c>
      <c r="AJ42" s="17">
        <f t="shared" ca="1" si="71"/>
        <v>0</v>
      </c>
      <c r="AK42" s="17">
        <f t="shared" ca="1" si="71"/>
        <v>0</v>
      </c>
      <c r="AL42" s="17">
        <f t="shared" ca="1" si="71"/>
        <v>0</v>
      </c>
      <c r="AM42" s="17">
        <f t="shared" ca="1" si="71"/>
        <v>0</v>
      </c>
      <c r="AN42" s="17">
        <f t="shared" ca="1" si="71"/>
        <v>0</v>
      </c>
      <c r="AO42" s="17">
        <f t="shared" ca="1" si="71"/>
        <v>0</v>
      </c>
      <c r="AP42" s="17">
        <f t="shared" ca="1" si="71"/>
        <v>0</v>
      </c>
      <c r="AQ42" s="17">
        <f t="shared" ca="1" si="71"/>
        <v>0</v>
      </c>
      <c r="AR42" s="17">
        <f t="shared" ca="1" si="71"/>
        <v>0</v>
      </c>
      <c r="AS42" s="17">
        <f t="shared" ca="1" si="71"/>
        <v>0</v>
      </c>
      <c r="AT42" s="17">
        <f t="shared" ca="1" si="71"/>
        <v>0</v>
      </c>
      <c r="AU42" s="17">
        <f t="shared" ca="1" si="71"/>
        <v>0</v>
      </c>
      <c r="AV42" s="17">
        <f t="shared" ca="1" si="71"/>
        <v>0</v>
      </c>
      <c r="AW42" s="17">
        <f t="shared" ca="1" si="71"/>
        <v>0</v>
      </c>
      <c r="AX42" s="17">
        <f t="shared" ca="1" si="71"/>
        <v>0</v>
      </c>
      <c r="AY42" s="17">
        <f t="shared" ca="1" si="71"/>
        <v>0</v>
      </c>
      <c r="AZ42" s="17">
        <f t="shared" ca="1" si="71"/>
        <v>0</v>
      </c>
      <c r="BA42" s="17">
        <f t="shared" ca="1" si="71"/>
        <v>0</v>
      </c>
      <c r="BB42" s="17">
        <f t="shared" ca="1" si="71"/>
        <v>0</v>
      </c>
      <c r="BC42" s="17">
        <f t="shared" ca="1" si="71"/>
        <v>0</v>
      </c>
      <c r="BD42" s="17">
        <f t="shared" ca="1" si="71"/>
        <v>0</v>
      </c>
      <c r="BE42" s="17">
        <f t="shared" ca="1" si="71"/>
        <v>0</v>
      </c>
      <c r="BF42" s="17">
        <f t="shared" ca="1" si="71"/>
        <v>0</v>
      </c>
      <c r="BG42" s="17">
        <f t="shared" ca="1" si="71"/>
        <v>0</v>
      </c>
      <c r="BH42" s="17">
        <f t="shared" ca="1" si="71"/>
        <v>0</v>
      </c>
      <c r="BI42" s="17">
        <f t="shared" ca="1" si="71"/>
        <v>0</v>
      </c>
      <c r="BJ42" s="17">
        <f t="shared" ca="1" si="71"/>
        <v>0</v>
      </c>
      <c r="BK42" s="17">
        <f t="shared" ca="1" si="71"/>
        <v>0</v>
      </c>
    </row>
    <row r="44" spans="1:63">
      <c r="A44" s="5" t="s">
        <v>212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</row>
    <row r="45" spans="1:63">
      <c r="A45" s="11" t="s">
        <v>213</v>
      </c>
      <c r="C45" s="29">
        <f ca="1">Inputs!K80</f>
        <v>20848578.93001904</v>
      </c>
      <c r="D45" s="17">
        <f ca="1">C47</f>
        <v>20848578.697437741</v>
      </c>
      <c r="E45" s="17">
        <f t="shared" ref="E45:I45" ca="1" si="72">D47</f>
        <v>20848578.683546215</v>
      </c>
      <c r="F45" s="17">
        <f t="shared" ca="1" si="72"/>
        <v>20848578.54500499</v>
      </c>
      <c r="G45" s="17">
        <f t="shared" ca="1" si="72"/>
        <v>20848578.900100756</v>
      </c>
      <c r="H45" s="17">
        <f t="shared" ca="1" si="72"/>
        <v>20848578.608466517</v>
      </c>
      <c r="I45" s="17">
        <f t="shared" ca="1" si="72"/>
        <v>20848578.93100344</v>
      </c>
      <c r="J45" s="17">
        <f t="shared" ref="J45" ca="1" si="73">I47</f>
        <v>20848578.519958921</v>
      </c>
      <c r="K45" s="17">
        <f t="shared" ref="K45" ca="1" si="74">J47</f>
        <v>20848578.359424714</v>
      </c>
      <c r="L45" s="17">
        <f t="shared" ref="L45" ca="1" si="75">K47</f>
        <v>20848579.103956725</v>
      </c>
      <c r="M45" s="17">
        <f t="shared" ref="M45" ca="1" si="76">L47</f>
        <v>19761901.500125967</v>
      </c>
      <c r="N45" s="17">
        <f t="shared" ref="N45" ca="1" si="77">M47</f>
        <v>16635814.375491945</v>
      </c>
      <c r="O45" s="17">
        <f t="shared" ref="O45" ca="1" si="78">N47</f>
        <v>13488752.703892365</v>
      </c>
      <c r="P45" s="17">
        <f t="shared" ref="P45" ca="1" si="79">O47</f>
        <v>10320561.535442378</v>
      </c>
      <c r="Q45" s="17">
        <f t="shared" ref="Q45" ca="1" si="80">P47</f>
        <v>7131114.4382090028</v>
      </c>
      <c r="R45" s="17">
        <f t="shared" ref="R45" ca="1" si="81">Q47</f>
        <v>5822942.7322024843</v>
      </c>
      <c r="S45" s="17">
        <f t="shared" ref="S45" ca="1" si="82">R47</f>
        <v>4505991.9229795728</v>
      </c>
      <c r="T45" s="17">
        <f t="shared" ref="T45" ca="1" si="83">S47</f>
        <v>3180201.0365022905</v>
      </c>
      <c r="U45" s="17">
        <f t="shared" ref="U45" ca="1" si="84">T47</f>
        <v>1845515.6759146373</v>
      </c>
      <c r="V45" s="17">
        <f t="shared" ref="V45" ca="1" si="85">U47</f>
        <v>501868.92466462613</v>
      </c>
      <c r="W45" s="17">
        <f t="shared" ref="W45" ca="1" si="86">V47</f>
        <v>381956.81528931519</v>
      </c>
      <c r="X45" s="17">
        <f t="shared" ref="X45" ca="1" si="87">W47</f>
        <v>277883.01807222218</v>
      </c>
      <c r="Y45" s="17">
        <f t="shared" ref="Y45" ca="1" si="88">X47</f>
        <v>189740.16333576036</v>
      </c>
      <c r="Z45" s="17">
        <f t="shared" ref="Z45" ca="1" si="89">Y47</f>
        <v>117662.38008011429</v>
      </c>
      <c r="AA45" s="17">
        <f t="shared" ref="AA45" ca="1" si="90">Z47</f>
        <v>61715.193372523296</v>
      </c>
      <c r="AB45" s="17">
        <f t="shared" ref="AB45" ca="1" si="91">AA47</f>
        <v>22078.192805648723</v>
      </c>
      <c r="AC45" s="17">
        <f t="shared" ref="AC45" ca="1" si="92">AB47</f>
        <v>2505.5851924012532</v>
      </c>
      <c r="AD45" s="17">
        <f t="shared" ref="AD45" ca="1" si="93">AC47</f>
        <v>1.6104042541410308</v>
      </c>
      <c r="AE45" s="17">
        <f t="shared" ref="AE45" ca="1" si="94">AD47</f>
        <v>1.3865616738039535</v>
      </c>
      <c r="AF45" s="17">
        <f t="shared" ref="AF45" ca="1" si="95">AE47</f>
        <v>0.4594019984069746</v>
      </c>
      <c r="AG45" s="17">
        <f t="shared" ref="AG45" ca="1" si="96">AF47</f>
        <v>0</v>
      </c>
      <c r="AH45" s="17">
        <f t="shared" ref="AH45" ca="1" si="97">AG47</f>
        <v>0</v>
      </c>
      <c r="AI45" s="17">
        <f t="shared" ref="AI45" ca="1" si="98">AH47</f>
        <v>0</v>
      </c>
      <c r="AJ45" s="17">
        <f t="shared" ref="AJ45" ca="1" si="99">AI47</f>
        <v>0</v>
      </c>
      <c r="AK45" s="17">
        <f t="shared" ref="AK45" ca="1" si="100">AJ47</f>
        <v>14.957485930586699</v>
      </c>
      <c r="AL45" s="17">
        <f t="shared" ref="AL45" ca="1" si="101">AK47</f>
        <v>0</v>
      </c>
      <c r="AM45" s="17">
        <f t="shared" ref="AM45" ca="1" si="102">AL47</f>
        <v>48.462423465069151</v>
      </c>
      <c r="AN45" s="17">
        <f t="shared" ref="AN45" ca="1" si="103">AM47</f>
        <v>0</v>
      </c>
      <c r="AO45" s="17">
        <f t="shared" ref="AO45" ca="1" si="104">AN47</f>
        <v>26.602916233619908</v>
      </c>
      <c r="AP45" s="17">
        <f t="shared" ref="AP45" ca="1" si="105">AO47</f>
        <v>0</v>
      </c>
      <c r="AQ45" s="17">
        <f t="shared" ref="AQ45" ca="1" si="106">AP47</f>
        <v>0</v>
      </c>
      <c r="AR45" s="17">
        <f t="shared" ref="AR45" ca="1" si="107">AQ47</f>
        <v>0</v>
      </c>
      <c r="AS45" s="17">
        <f t="shared" ref="AS45" ca="1" si="108">AR47</f>
        <v>0</v>
      </c>
      <c r="AT45" s="17">
        <f t="shared" ref="AT45" ca="1" si="109">AS47</f>
        <v>0</v>
      </c>
      <c r="AU45" s="17">
        <f t="shared" ref="AU45" ca="1" si="110">AT47</f>
        <v>0</v>
      </c>
      <c r="AV45" s="17">
        <f t="shared" ref="AV45" ca="1" si="111">AU47</f>
        <v>0</v>
      </c>
      <c r="AW45" s="17">
        <f t="shared" ref="AW45" ca="1" si="112">AV47</f>
        <v>0</v>
      </c>
      <c r="AX45" s="17">
        <f t="shared" ref="AX45" ca="1" si="113">AW47</f>
        <v>0</v>
      </c>
      <c r="AY45" s="17">
        <f t="shared" ref="AY45" ca="1" si="114">AX47</f>
        <v>0</v>
      </c>
      <c r="AZ45" s="17">
        <f t="shared" ref="AZ45" ca="1" si="115">AY47</f>
        <v>598.83927233025315</v>
      </c>
      <c r="BA45" s="17">
        <f t="shared" ref="BA45" ca="1" si="116">AZ47</f>
        <v>0</v>
      </c>
      <c r="BB45" s="17">
        <f t="shared" ref="BB45" ca="1" si="117">BA47</f>
        <v>122.98512688596384</v>
      </c>
      <c r="BC45" s="17">
        <f t="shared" ref="BC45" ca="1" si="118">BB47</f>
        <v>122.90346089436207</v>
      </c>
      <c r="BD45" s="17">
        <f t="shared" ref="BD45" ca="1" si="119">BC47</f>
        <v>121.95297273245524</v>
      </c>
      <c r="BE45" s="17">
        <f t="shared" ref="BE45" ca="1" si="120">BD47</f>
        <v>123.02802364219679</v>
      </c>
      <c r="BF45" s="17">
        <f t="shared" ref="BF45" ca="1" si="121">BE47</f>
        <v>129.94693815868231</v>
      </c>
      <c r="BG45" s="17">
        <f t="shared" ref="BG45" ca="1" si="122">BF47</f>
        <v>192.9485125427891</v>
      </c>
      <c r="BH45" s="17">
        <f t="shared" ref="BH45" ca="1" si="123">BG47</f>
        <v>155.11296161159407</v>
      </c>
      <c r="BI45" s="17">
        <f t="shared" ref="BI45" ca="1" si="124">BH47</f>
        <v>4.9124057294684462</v>
      </c>
      <c r="BJ45" s="17">
        <f t="shared" ref="BJ45" ca="1" si="125">BI47</f>
        <v>0</v>
      </c>
      <c r="BK45" s="17">
        <f t="shared" ref="BK45" ca="1" si="126">BJ47</f>
        <v>0</v>
      </c>
    </row>
    <row r="46" spans="1:63">
      <c r="A46" s="11" t="s">
        <v>214</v>
      </c>
      <c r="B46" s="30">
        <f ca="1">SUM(C46:BK46)</f>
        <v>-20848577.628845062</v>
      </c>
      <c r="C46" s="17">
        <f ca="1">IF(C42=0,-MIN(ABS(C34-C41),C45),0)</f>
        <v>0</v>
      </c>
      <c r="D46" s="17">
        <f t="shared" ref="D46:I46" ca="1" si="127">IF(D42=0,-MIN(ABS(D34-D41),D45),0)</f>
        <v>0</v>
      </c>
      <c r="E46" s="17">
        <f t="shared" ca="1" si="127"/>
        <v>0</v>
      </c>
      <c r="F46" s="17">
        <f t="shared" ca="1" si="127"/>
        <v>0</v>
      </c>
      <c r="G46" s="17">
        <f t="shared" ca="1" si="127"/>
        <v>0</v>
      </c>
      <c r="H46" s="17">
        <f t="shared" ca="1" si="127"/>
        <v>0</v>
      </c>
      <c r="I46" s="17">
        <f t="shared" ca="1" si="127"/>
        <v>0</v>
      </c>
      <c r="J46" s="17">
        <f t="shared" ref="J46:BK46" ca="1" si="128">IF(J42=0,-MIN(ABS(J34-J41),J45),0)</f>
        <v>0</v>
      </c>
      <c r="K46" s="17">
        <f t="shared" ca="1" si="128"/>
        <v>0</v>
      </c>
      <c r="L46" s="17">
        <f t="shared" ca="1" si="128"/>
        <v>-1086678.7924222234</v>
      </c>
      <c r="M46" s="17">
        <f t="shared" ca="1" si="128"/>
        <v>-3126085.0763693713</v>
      </c>
      <c r="N46" s="17">
        <f t="shared" ca="1" si="128"/>
        <v>-3147065.5133143077</v>
      </c>
      <c r="O46" s="17">
        <f t="shared" ca="1" si="128"/>
        <v>-3168186.7585589923</v>
      </c>
      <c r="P46" s="17">
        <f t="shared" ca="1" si="128"/>
        <v>-3189449.7571255835</v>
      </c>
      <c r="Q46" s="17">
        <f t="shared" ca="1" si="128"/>
        <v>-1308170.8966202794</v>
      </c>
      <c r="R46" s="17">
        <f t="shared" ca="1" si="128"/>
        <v>-1316950.5672506632</v>
      </c>
      <c r="S46" s="17">
        <f t="shared" ca="1" si="128"/>
        <v>-1325789.1618431604</v>
      </c>
      <c r="T46" s="17">
        <f t="shared" ca="1" si="128"/>
        <v>-1334687.0758606158</v>
      </c>
      <c r="U46" s="17">
        <f t="shared" ca="1" si="128"/>
        <v>-1343644.7074199866</v>
      </c>
      <c r="V46" s="17">
        <f t="shared" ca="1" si="128"/>
        <v>-119914.19160650723</v>
      </c>
      <c r="W46" s="17">
        <f t="shared" ca="1" si="128"/>
        <v>-104078.10185959096</v>
      </c>
      <c r="X46" s="17">
        <f t="shared" ca="1" si="128"/>
        <v>-88135.729629360299</v>
      </c>
      <c r="Y46" s="17">
        <f t="shared" ca="1" si="128"/>
        <v>-72086.361610569555</v>
      </c>
      <c r="Z46" s="17">
        <f t="shared" ca="1" si="128"/>
        <v>-55929.279710689385</v>
      </c>
      <c r="AA46" s="17">
        <f t="shared" ca="1" si="128"/>
        <v>-39663.761017777375</v>
      </c>
      <c r="AB46" s="17">
        <f t="shared" ca="1" si="128"/>
        <v>-19553.590032054315</v>
      </c>
      <c r="AC46" s="17">
        <f t="shared" ca="1" si="128"/>
        <v>-2505.5851924012532</v>
      </c>
      <c r="AD46" s="17">
        <f t="shared" ca="1" si="128"/>
        <v>0</v>
      </c>
      <c r="AE46" s="17">
        <f t="shared" ca="1" si="128"/>
        <v>0</v>
      </c>
      <c r="AF46" s="17">
        <f t="shared" ca="1" si="128"/>
        <v>0</v>
      </c>
      <c r="AG46" s="17">
        <f t="shared" ca="1" si="128"/>
        <v>0</v>
      </c>
      <c r="AH46" s="17">
        <f t="shared" ca="1" si="128"/>
        <v>0</v>
      </c>
      <c r="AI46" s="17">
        <f t="shared" ca="1" si="128"/>
        <v>0</v>
      </c>
      <c r="AJ46" s="17">
        <f t="shared" ca="1" si="128"/>
        <v>0</v>
      </c>
      <c r="AK46" s="17">
        <f t="shared" ca="1" si="128"/>
        <v>0</v>
      </c>
      <c r="AL46" s="17">
        <f t="shared" ca="1" si="128"/>
        <v>0</v>
      </c>
      <c r="AM46" s="17">
        <f t="shared" ca="1" si="128"/>
        <v>0</v>
      </c>
      <c r="AN46" s="17">
        <f t="shared" ca="1" si="128"/>
        <v>0</v>
      </c>
      <c r="AO46" s="17">
        <f t="shared" ca="1" si="128"/>
        <v>0</v>
      </c>
      <c r="AP46" s="17">
        <f t="shared" ca="1" si="128"/>
        <v>0</v>
      </c>
      <c r="AQ46" s="17">
        <f t="shared" ca="1" si="128"/>
        <v>0</v>
      </c>
      <c r="AR46" s="17">
        <f t="shared" ca="1" si="128"/>
        <v>0</v>
      </c>
      <c r="AS46" s="17">
        <f t="shared" ca="1" si="128"/>
        <v>0</v>
      </c>
      <c r="AT46" s="17">
        <f t="shared" ca="1" si="128"/>
        <v>0</v>
      </c>
      <c r="AU46" s="17">
        <f t="shared" ca="1" si="128"/>
        <v>0</v>
      </c>
      <c r="AV46" s="17">
        <f t="shared" ca="1" si="128"/>
        <v>0</v>
      </c>
      <c r="AW46" s="17">
        <f t="shared" ca="1" si="128"/>
        <v>0</v>
      </c>
      <c r="AX46" s="17">
        <f t="shared" ca="1" si="128"/>
        <v>0</v>
      </c>
      <c r="AY46" s="17">
        <f t="shared" ca="1" si="128"/>
        <v>0</v>
      </c>
      <c r="AZ46" s="17">
        <f t="shared" ca="1" si="128"/>
        <v>0</v>
      </c>
      <c r="BA46" s="17">
        <f t="shared" ca="1" si="128"/>
        <v>0</v>
      </c>
      <c r="BB46" s="17">
        <f t="shared" ca="1" si="128"/>
        <v>0</v>
      </c>
      <c r="BC46" s="17">
        <f t="shared" ca="1" si="128"/>
        <v>0</v>
      </c>
      <c r="BD46" s="17">
        <f t="shared" ca="1" si="128"/>
        <v>0</v>
      </c>
      <c r="BE46" s="17">
        <f t="shared" ca="1" si="128"/>
        <v>0</v>
      </c>
      <c r="BF46" s="17">
        <f t="shared" ca="1" si="128"/>
        <v>0</v>
      </c>
      <c r="BG46" s="17">
        <f t="shared" ca="1" si="128"/>
        <v>0</v>
      </c>
      <c r="BH46" s="17">
        <f t="shared" ca="1" si="128"/>
        <v>0</v>
      </c>
      <c r="BI46" s="17">
        <f t="shared" ca="1" si="128"/>
        <v>0</v>
      </c>
      <c r="BJ46" s="17">
        <f t="shared" ca="1" si="128"/>
        <v>0</v>
      </c>
      <c r="BK46" s="17">
        <f t="shared" ca="1" si="128"/>
        <v>0</v>
      </c>
    </row>
    <row r="47" spans="1:63">
      <c r="A47" s="11" t="s">
        <v>215</v>
      </c>
      <c r="C47" s="17">
        <f ca="1">SUM(C45:C46)</f>
        <v>20848578.93001904</v>
      </c>
      <c r="D47" s="17">
        <f t="shared" ref="D47:I47" ca="1" si="129">SUM(D45:D46)</f>
        <v>20848578.697437741</v>
      </c>
      <c r="E47" s="17">
        <f t="shared" ca="1" si="129"/>
        <v>20848578.683546215</v>
      </c>
      <c r="F47" s="17">
        <f t="shared" ca="1" si="129"/>
        <v>20848578.54500499</v>
      </c>
      <c r="G47" s="17">
        <f t="shared" ca="1" si="129"/>
        <v>20848578.900100756</v>
      </c>
      <c r="H47" s="17">
        <f t="shared" ca="1" si="129"/>
        <v>20848578.608466517</v>
      </c>
      <c r="I47" s="17">
        <f t="shared" ca="1" si="129"/>
        <v>20848578.93100344</v>
      </c>
      <c r="J47" s="17">
        <f t="shared" ref="J47:BK47" ca="1" si="130">SUM(J45:J46)</f>
        <v>20848578.519958921</v>
      </c>
      <c r="K47" s="17">
        <f t="shared" ca="1" si="130"/>
        <v>20848578.359424714</v>
      </c>
      <c r="L47" s="17">
        <f t="shared" ca="1" si="130"/>
        <v>19761900.311534502</v>
      </c>
      <c r="M47" s="17">
        <f t="shared" ca="1" si="130"/>
        <v>16635816.423756596</v>
      </c>
      <c r="N47" s="17">
        <f t="shared" ca="1" si="130"/>
        <v>13488748.862177636</v>
      </c>
      <c r="O47" s="17">
        <f t="shared" ca="1" si="130"/>
        <v>10320565.945333373</v>
      </c>
      <c r="P47" s="17">
        <f t="shared" ca="1" si="130"/>
        <v>7131111.7783167949</v>
      </c>
      <c r="Q47" s="17">
        <f t="shared" ca="1" si="130"/>
        <v>5822943.5415887237</v>
      </c>
      <c r="R47" s="17">
        <f t="shared" ca="1" si="130"/>
        <v>4505992.1649518209</v>
      </c>
      <c r="S47" s="17">
        <f t="shared" ca="1" si="130"/>
        <v>3180202.7611364126</v>
      </c>
      <c r="T47" s="17">
        <f t="shared" ca="1" si="130"/>
        <v>1845513.9606416747</v>
      </c>
      <c r="U47" s="17">
        <f t="shared" ca="1" si="130"/>
        <v>501870.96849465067</v>
      </c>
      <c r="V47" s="17">
        <f t="shared" ca="1" si="130"/>
        <v>381954.7330581189</v>
      </c>
      <c r="W47" s="17">
        <f t="shared" ca="1" si="130"/>
        <v>277878.71342972422</v>
      </c>
      <c r="X47" s="17">
        <f t="shared" ca="1" si="130"/>
        <v>189747.28844286187</v>
      </c>
      <c r="Y47" s="17">
        <f t="shared" ca="1" si="130"/>
        <v>117653.8017251908</v>
      </c>
      <c r="Z47" s="17">
        <f t="shared" ca="1" si="130"/>
        <v>61733.100369424908</v>
      </c>
      <c r="AA47" s="17">
        <f t="shared" ca="1" si="130"/>
        <v>22051.432354745921</v>
      </c>
      <c r="AB47" s="17">
        <f t="shared" ca="1" si="130"/>
        <v>2524.6027735944081</v>
      </c>
      <c r="AC47" s="17">
        <f t="shared" ca="1" si="130"/>
        <v>0</v>
      </c>
      <c r="AD47" s="17">
        <f t="shared" ca="1" si="130"/>
        <v>1.6104042541410308</v>
      </c>
      <c r="AE47" s="17">
        <f t="shared" ca="1" si="130"/>
        <v>1.3865616738039535</v>
      </c>
      <c r="AF47" s="17">
        <f t="shared" ca="1" si="130"/>
        <v>0.4594019984069746</v>
      </c>
      <c r="AG47" s="17">
        <f t="shared" ca="1" si="130"/>
        <v>0</v>
      </c>
      <c r="AH47" s="17">
        <f t="shared" ca="1" si="130"/>
        <v>0</v>
      </c>
      <c r="AI47" s="17">
        <f t="shared" ca="1" si="130"/>
        <v>0</v>
      </c>
      <c r="AJ47" s="17">
        <f t="shared" ca="1" si="130"/>
        <v>0</v>
      </c>
      <c r="AK47" s="17">
        <f t="shared" ca="1" si="130"/>
        <v>14.957485930586699</v>
      </c>
      <c r="AL47" s="17">
        <f t="shared" ca="1" si="130"/>
        <v>0</v>
      </c>
      <c r="AM47" s="17">
        <f t="shared" ca="1" si="130"/>
        <v>48.462423465069151</v>
      </c>
      <c r="AN47" s="17">
        <f t="shared" ca="1" si="130"/>
        <v>0</v>
      </c>
      <c r="AO47" s="17">
        <f t="shared" ca="1" si="130"/>
        <v>26.602916233619908</v>
      </c>
      <c r="AP47" s="17">
        <f t="shared" ca="1" si="130"/>
        <v>0</v>
      </c>
      <c r="AQ47" s="17">
        <f t="shared" ca="1" si="130"/>
        <v>0</v>
      </c>
      <c r="AR47" s="17">
        <f t="shared" ca="1" si="130"/>
        <v>0</v>
      </c>
      <c r="AS47" s="17">
        <f t="shared" ca="1" si="130"/>
        <v>0</v>
      </c>
      <c r="AT47" s="17">
        <f t="shared" ca="1" si="130"/>
        <v>0</v>
      </c>
      <c r="AU47" s="17">
        <f t="shared" ca="1" si="130"/>
        <v>0</v>
      </c>
      <c r="AV47" s="17">
        <f t="shared" ca="1" si="130"/>
        <v>0</v>
      </c>
      <c r="AW47" s="17">
        <f t="shared" ca="1" si="130"/>
        <v>0</v>
      </c>
      <c r="AX47" s="17">
        <f t="shared" ca="1" si="130"/>
        <v>0</v>
      </c>
      <c r="AY47" s="17">
        <f t="shared" ca="1" si="130"/>
        <v>0</v>
      </c>
      <c r="AZ47" s="17">
        <f t="shared" ca="1" si="130"/>
        <v>598.83927233025315</v>
      </c>
      <c r="BA47" s="17">
        <f t="shared" ca="1" si="130"/>
        <v>0</v>
      </c>
      <c r="BB47" s="17">
        <f t="shared" ca="1" si="130"/>
        <v>122.98512688596384</v>
      </c>
      <c r="BC47" s="17">
        <f t="shared" ca="1" si="130"/>
        <v>122.90346089436207</v>
      </c>
      <c r="BD47" s="17">
        <f t="shared" ca="1" si="130"/>
        <v>121.95297273245524</v>
      </c>
      <c r="BE47" s="17">
        <f t="shared" ca="1" si="130"/>
        <v>123.02802364219679</v>
      </c>
      <c r="BF47" s="17">
        <f t="shared" ca="1" si="130"/>
        <v>129.94693815868231</v>
      </c>
      <c r="BG47" s="17">
        <f t="shared" ca="1" si="130"/>
        <v>192.9485125427891</v>
      </c>
      <c r="BH47" s="17">
        <f t="shared" ca="1" si="130"/>
        <v>155.11296161159407</v>
      </c>
      <c r="BI47" s="17">
        <f t="shared" ca="1" si="130"/>
        <v>4.9124057294684462</v>
      </c>
      <c r="BJ47" s="17">
        <f t="shared" ca="1" si="130"/>
        <v>0</v>
      </c>
      <c r="BK47" s="17">
        <f t="shared" ca="1" si="130"/>
        <v>0</v>
      </c>
    </row>
    <row r="48" spans="1:63">
      <c r="A48" s="11" t="s">
        <v>216</v>
      </c>
      <c r="B48" s="31">
        <f>Inputs!K96</f>
        <v>30</v>
      </c>
      <c r="C48" s="104" t="s">
        <v>217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</row>
    <row r="49" spans="1:63">
      <c r="A49" s="11" t="s">
        <v>218</v>
      </c>
      <c r="B49" s="20">
        <f>Inputs!K61</f>
        <v>0.08</v>
      </c>
      <c r="C49" s="17">
        <f ca="1">IF(C8&gt;=$B$48,0,SUM($C46:C$46)*$B49/12)</f>
        <v>0</v>
      </c>
      <c r="D49" s="17">
        <f ca="1">IF(D8&gt;=$B$48,0,SUM($C46:D$46)*$B49/12)</f>
        <v>0</v>
      </c>
      <c r="E49" s="17">
        <f ca="1">IF(E8&gt;=$B$48,0,SUM($C46:E$46)*$B49/12)</f>
        <v>0</v>
      </c>
      <c r="F49" s="17">
        <f ca="1">IF(F8&gt;=$B$48,0,SUM($C46:F$46)*$B49/12)</f>
        <v>0</v>
      </c>
      <c r="G49" s="17">
        <f ca="1">IF(G8&gt;=$B$48,0,SUM($C46:G$46)*$B49/12)</f>
        <v>0</v>
      </c>
      <c r="H49" s="17">
        <f ca="1">IF(H8&gt;=$B$48,0,SUM($C46:H$46)*$B49/12)</f>
        <v>0</v>
      </c>
      <c r="I49" s="17">
        <f ca="1">IF(I8&gt;=$B$48,0,SUM($C46:I$46)*$B49/12)</f>
        <v>0</v>
      </c>
      <c r="J49" s="17">
        <f ca="1">IF(J8&gt;=$B$48,0,SUM($C46:J$46)*$B49/12)</f>
        <v>0</v>
      </c>
      <c r="K49" s="17">
        <f ca="1">IF(K8&gt;=$B$48,0,SUM($C46:K$46)*$B49/12)</f>
        <v>0</v>
      </c>
      <c r="L49" s="17">
        <f ca="1">IF(L8&gt;=$B$48,0,SUM($C46:L$46)*$B49/12)</f>
        <v>-7244.5252828148223</v>
      </c>
      <c r="M49" s="17">
        <f ca="1">IF(M8&gt;=$B$48,0,SUM($C46:M$46)*$B49/12)</f>
        <v>-28085.092458610638</v>
      </c>
      <c r="N49" s="17">
        <f ca="1">IF(N8&gt;=$B$48,0,SUM($C46:N$46)*$B49/12)</f>
        <v>-49065.529214039358</v>
      </c>
      <c r="O49" s="17">
        <f ca="1">IF(O8&gt;=$B$48,0,SUM($C46:O$46)*$B49/12)</f>
        <v>-70186.77427109929</v>
      </c>
      <c r="P49" s="17">
        <f ca="1">IF(P8&gt;=$B$48,0,SUM($C46:P$46)*$B49/12)</f>
        <v>-91449.77265193651</v>
      </c>
      <c r="Q49" s="17">
        <f ca="1">IF(Q8&gt;=$B$48,0,SUM($C46:Q$46)*$B49/12)</f>
        <v>-100170.91196273838</v>
      </c>
      <c r="R49" s="17">
        <f ca="1">IF(R8&gt;=$B$48,0,SUM($C46:R$46)*$B49/12)</f>
        <v>-108950.58241107613</v>
      </c>
      <c r="S49" s="17">
        <f ca="1">IF(S8&gt;=$B$48,0,SUM($C46:S$46)*$B49/12)</f>
        <v>-117789.17682336387</v>
      </c>
      <c r="T49" s="17">
        <f ca="1">IF(T8&gt;=$B$48,0,SUM($C46:T$46)*$B49/12)</f>
        <v>-126687.09066243465</v>
      </c>
      <c r="U49" s="17">
        <f ca="1">IF(U8&gt;=$B$48,0,SUM($C46:U$46)*$B49/12)</f>
        <v>-135644.72204523455</v>
      </c>
      <c r="V49" s="17">
        <f ca="1">IF(V8&gt;=$B$48,0,SUM($C46:V$46)*$B49/12)</f>
        <v>-136444.14998927794</v>
      </c>
      <c r="W49" s="17">
        <f ca="1">IF(W8&gt;=$B$48,0,SUM($C46:W$46)*$B49/12)</f>
        <v>-137138.00400167523</v>
      </c>
      <c r="X49" s="17">
        <f ca="1">IF(X8&gt;=$B$48,0,SUM($C46:X$46)*$B49/12)</f>
        <v>-137725.57553253762</v>
      </c>
      <c r="Y49" s="17">
        <f ca="1">IF(Y8&gt;=$B$48,0,SUM($C46:Y$46)*$B49/12)</f>
        <v>-138206.15127660809</v>
      </c>
      <c r="Z49" s="17">
        <f ca="1">IF(Z8&gt;=$B$48,0,SUM($C46:Z$46)*$B49/12)</f>
        <v>-138579.01314134602</v>
      </c>
      <c r="AA49" s="17">
        <f ca="1">IF(AA8&gt;=$B$48,0,SUM($C46:AA$46)*$B49/12)</f>
        <v>-138843.43821479785</v>
      </c>
      <c r="AB49" s="17">
        <f ca="1">IF(AB8&gt;=$B$48,0,SUM($C46:AB$46)*$B49/12)</f>
        <v>-138973.79548167824</v>
      </c>
      <c r="AC49" s="17">
        <f ca="1">IF(AC8&gt;=$B$48,0,SUM($C46:AC$46)*$B49/12)</f>
        <v>-138990.4993829609</v>
      </c>
      <c r="AD49" s="17">
        <f ca="1">IF(AD8&gt;=$B$48,0,SUM($C46:AD$46)*$B49/12)</f>
        <v>-138990.4993829609</v>
      </c>
      <c r="AE49" s="17">
        <f ca="1">IF(AE8&gt;=$B$48,0,SUM($C46:AE$46)*$B49/12)</f>
        <v>-138990.4993829609</v>
      </c>
      <c r="AF49" s="17">
        <f ca="1">IF(AF8&gt;=$B$48,0,SUM($C46:AF$46)*$B49/12)</f>
        <v>-138990.4993829609</v>
      </c>
      <c r="AG49" s="17">
        <f>IF(AG8&gt;=$B$48,0,SUM($C46:AG$46)*$B49/12)</f>
        <v>0</v>
      </c>
      <c r="AH49" s="17">
        <f>IF(AH8&gt;=$B$48,0,SUM($C46:AH$46)*$B49/12)</f>
        <v>0</v>
      </c>
      <c r="AI49" s="17">
        <f>IF(AI8&gt;=$B$48,0,SUM($C46:AI$46)*$B49/12)</f>
        <v>0</v>
      </c>
      <c r="AJ49" s="17">
        <f>IF(AJ8&gt;=$B$48,0,SUM($C46:AJ$46)*$B49/12)</f>
        <v>0</v>
      </c>
      <c r="AK49" s="17">
        <f>IF(AK8&gt;=$B$48,0,SUM($C46:AK$46)*$B49/12)</f>
        <v>0</v>
      </c>
      <c r="AL49" s="17">
        <f>IF(AL8&gt;=$B$48,0,SUM($C46:AL$46)*$B49/12)</f>
        <v>0</v>
      </c>
      <c r="AM49" s="17">
        <f>IF(AM8&gt;=$B$48,0,SUM($C46:AM$46)*$B49/12)</f>
        <v>0</v>
      </c>
      <c r="AN49" s="17">
        <f>IF(AN8&gt;=$B$48,0,SUM($C46:AN$46)*$B49/12)</f>
        <v>0</v>
      </c>
      <c r="AO49" s="17">
        <f>IF(AO8&gt;=$B$48,0,SUM($C46:AO$46)*$B49/12)</f>
        <v>0</v>
      </c>
      <c r="AP49" s="17">
        <f>IF(AP8&gt;=$B$48,0,SUM($C46:AP$46)*$B49/12)</f>
        <v>0</v>
      </c>
      <c r="AQ49" s="17">
        <f>IF(AQ8&gt;=$B$48,0,SUM($C46:AQ$46)*$B49/12)</f>
        <v>0</v>
      </c>
      <c r="AR49" s="17">
        <f>IF(AR8&gt;=$B$48,0,SUM($C46:AR$46)*$B49/12)</f>
        <v>0</v>
      </c>
      <c r="AS49" s="17">
        <f>IF(AS8&gt;=$B$48,0,SUM($C46:AS$46)*$B49/12)</f>
        <v>0</v>
      </c>
      <c r="AT49" s="17">
        <f>IF(AT8&gt;=$B$48,0,SUM($C46:AT$46)*$B49/12)</f>
        <v>0</v>
      </c>
      <c r="AU49" s="17">
        <f>IF(AU8&gt;=$B$48,0,SUM($C46:AU$46)*$B49/12)</f>
        <v>0</v>
      </c>
      <c r="AV49" s="17">
        <f>IF(AV8&gt;=$B$48,0,SUM($C46:AV$46)*$B49/12)</f>
        <v>0</v>
      </c>
      <c r="AW49" s="17">
        <f>IF(AW8&gt;=$B$48,0,SUM($C46:AW$46)*$B49/12)</f>
        <v>0</v>
      </c>
      <c r="AX49" s="17">
        <f>IF(AX8&gt;=$B$48,0,SUM($C46:AX$46)*$B49/12)</f>
        <v>0</v>
      </c>
      <c r="AY49" s="17">
        <f>IF(AY8&gt;=$B$48,0,SUM($C46:AY$46)*$B49/12)</f>
        <v>0</v>
      </c>
      <c r="AZ49" s="17">
        <f>IF(AZ8&gt;=$B$48,0,SUM($C46:AZ$46)*$B49/12)</f>
        <v>0</v>
      </c>
      <c r="BA49" s="17">
        <f>IF(BA8&gt;=$B$48,0,SUM($C46:BA$46)*$B49/12)</f>
        <v>0</v>
      </c>
      <c r="BB49" s="17">
        <f>IF(BB8&gt;=$B$48,0,SUM($C46:BB$46)*$B49/12)</f>
        <v>0</v>
      </c>
      <c r="BC49" s="17">
        <f>IF(BC8&gt;=$B$48,0,SUM($C46:BC$46)*$B49/12)</f>
        <v>0</v>
      </c>
      <c r="BD49" s="17">
        <f>IF(BD8&gt;=$B$48,0,SUM($C46:BD$46)*$B49/12)</f>
        <v>0</v>
      </c>
      <c r="BE49" s="17">
        <f>IF(BE8&gt;=$B$48,0,SUM($C46:BE$46)*$B49/12)</f>
        <v>0</v>
      </c>
      <c r="BF49" s="17">
        <f>IF(BF8&gt;=$B$48,0,SUM($C46:BF$46)*$B49/12)</f>
        <v>0</v>
      </c>
      <c r="BG49" s="17">
        <f>IF(BG8&gt;=$B$48,0,SUM($C46:BG$46)*$B49/12)</f>
        <v>0</v>
      </c>
      <c r="BH49" s="17">
        <f>IF(BH8&gt;=$B$48,0,SUM($C46:BH$46)*$B49/12)</f>
        <v>0</v>
      </c>
      <c r="BI49" s="17">
        <f>IF(BI8&gt;=$B$48,0,SUM($C46:BI$46)*$B49/12)</f>
        <v>0</v>
      </c>
      <c r="BJ49" s="17">
        <f>IF(BJ8&gt;=$B$48,0,SUM($C46:BJ$46)*$B49/12)</f>
        <v>0</v>
      </c>
      <c r="BK49" s="17">
        <f>IF(BK8&gt;=$B$48,0,SUM($C46:BK$46)*$B49/12)</f>
        <v>0</v>
      </c>
    </row>
    <row r="50" spans="1:63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>
      <c r="A51" s="102" t="s">
        <v>219</v>
      </c>
      <c r="B51" s="99"/>
      <c r="C51" s="17"/>
      <c r="D51" s="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</row>
    <row r="52" spans="1:63">
      <c r="A52" s="11" t="s">
        <v>213</v>
      </c>
      <c r="B52" s="99"/>
      <c r="C52" s="29">
        <f ca="1">Inputs!K66</f>
        <v>0</v>
      </c>
      <c r="D52" s="17">
        <f t="shared" ref="D52:I52" ca="1" si="131">IF(D8&gt;$B$48,0,C54)</f>
        <v>0</v>
      </c>
      <c r="E52" s="17">
        <f t="shared" ca="1" si="131"/>
        <v>0</v>
      </c>
      <c r="F52" s="17">
        <f t="shared" ca="1" si="131"/>
        <v>0</v>
      </c>
      <c r="G52" s="17">
        <f t="shared" ca="1" si="131"/>
        <v>0</v>
      </c>
      <c r="H52" s="17">
        <f t="shared" ca="1" si="131"/>
        <v>0</v>
      </c>
      <c r="I52" s="17">
        <f t="shared" ca="1" si="131"/>
        <v>0</v>
      </c>
      <c r="J52" s="17">
        <f t="shared" ref="J52" ca="1" si="132">IF(J8&gt;$B$48,0,I54)</f>
        <v>0</v>
      </c>
      <c r="K52" s="17">
        <f t="shared" ref="K52" ca="1" si="133">IF(K8&gt;$B$48,0,J54)</f>
        <v>0</v>
      </c>
      <c r="L52" s="17">
        <f t="shared" ref="L52" ca="1" si="134">IF(L8&gt;$B$48,0,K54)</f>
        <v>0</v>
      </c>
      <c r="M52" s="17">
        <f t="shared" ref="M52" ca="1" si="135">IF(M8&gt;$B$48,0,L54)</f>
        <v>0</v>
      </c>
      <c r="N52" s="17">
        <f t="shared" ref="N52" ca="1" si="136">IF(N8&gt;$B$48,0,M54)</f>
        <v>0</v>
      </c>
      <c r="O52" s="17">
        <f t="shared" ref="O52" ca="1" si="137">IF(O8&gt;$B$48,0,N54)</f>
        <v>0</v>
      </c>
      <c r="P52" s="17">
        <f t="shared" ref="P52" ca="1" si="138">IF(P8&gt;$B$48,0,O54)</f>
        <v>0</v>
      </c>
      <c r="Q52" s="17">
        <f t="shared" ref="Q52" ca="1" si="139">IF(Q8&gt;$B$48,0,P54)</f>
        <v>0</v>
      </c>
      <c r="R52" s="17">
        <f t="shared" ref="R52" ca="1" si="140">IF(R8&gt;$B$48,0,Q54)</f>
        <v>0</v>
      </c>
      <c r="S52" s="17">
        <f t="shared" ref="S52" ca="1" si="141">IF(S8&gt;$B$48,0,R54)</f>
        <v>0</v>
      </c>
      <c r="T52" s="17">
        <f t="shared" ref="T52" ca="1" si="142">IF(T8&gt;$B$48,0,S54)</f>
        <v>0</v>
      </c>
      <c r="U52" s="17">
        <f t="shared" ref="U52" ca="1" si="143">IF(U8&gt;$B$48,0,T54)</f>
        <v>0</v>
      </c>
      <c r="V52" s="17">
        <f t="shared" ref="V52" ca="1" si="144">IF(V8&gt;$B$48,0,U54)</f>
        <v>0</v>
      </c>
      <c r="W52" s="17">
        <f t="shared" ref="W52" ca="1" si="145">IF(W8&gt;$B$48,0,V54)</f>
        <v>0</v>
      </c>
      <c r="X52" s="17">
        <f t="shared" ref="X52" ca="1" si="146">IF(X8&gt;$B$48,0,W54)</f>
        <v>0</v>
      </c>
      <c r="Y52" s="17">
        <f t="shared" ref="Y52" ca="1" si="147">IF(Y8&gt;$B$48,0,X54)</f>
        <v>0</v>
      </c>
      <c r="Z52" s="17">
        <f t="shared" ref="Z52" ca="1" si="148">IF(Z8&gt;$B$48,0,Y54)</f>
        <v>0</v>
      </c>
      <c r="AA52" s="17">
        <f t="shared" ref="AA52" ca="1" si="149">IF(AA8&gt;$B$48,0,Z54)</f>
        <v>0</v>
      </c>
      <c r="AB52" s="17">
        <f t="shared" ref="AB52" ca="1" si="150">IF(AB8&gt;$B$48,0,AA54)</f>
        <v>0</v>
      </c>
      <c r="AC52" s="17">
        <f t="shared" ref="AC52" ca="1" si="151">IF(AC8&gt;$B$48,0,AB54)</f>
        <v>0</v>
      </c>
      <c r="AD52" s="17">
        <f t="shared" ref="AD52" ca="1" si="152">IF(AD8&gt;$B$48,0,AC54)</f>
        <v>0</v>
      </c>
      <c r="AE52" s="17">
        <f t="shared" ref="AE52" ca="1" si="153">IF(AE8&gt;$B$48,0,AD54)</f>
        <v>0</v>
      </c>
      <c r="AF52" s="17">
        <f t="shared" ref="AF52" ca="1" si="154">IF(AF8&gt;$B$48,0,AE54)</f>
        <v>0</v>
      </c>
      <c r="AG52" s="17">
        <f t="shared" ref="AG52" ca="1" si="155">IF(AG8&gt;$B$48,0,AF54)</f>
        <v>-1.9586712467717007</v>
      </c>
      <c r="AH52" s="17">
        <f t="shared" ref="AH52" si="156">IF(AH8&gt;$B$48,0,AG54)</f>
        <v>0</v>
      </c>
      <c r="AI52" s="17">
        <f t="shared" ref="AI52" si="157">IF(AI8&gt;$B$48,0,AH54)</f>
        <v>0</v>
      </c>
      <c r="AJ52" s="17">
        <f t="shared" ref="AJ52" si="158">IF(AJ8&gt;$B$48,0,AI54)</f>
        <v>0</v>
      </c>
      <c r="AK52" s="17">
        <f t="shared" ref="AK52" si="159">IF(AK8&gt;$B$48,0,AJ54)</f>
        <v>0</v>
      </c>
      <c r="AL52" s="17">
        <f t="shared" ref="AL52" si="160">IF(AL8&gt;$B$48,0,AK54)</f>
        <v>0</v>
      </c>
      <c r="AM52" s="17">
        <f t="shared" ref="AM52" si="161">IF(AM8&gt;$B$48,0,AL54)</f>
        <v>0</v>
      </c>
      <c r="AN52" s="17">
        <f t="shared" ref="AN52" si="162">IF(AN8&gt;$B$48,0,AM54)</f>
        <v>0</v>
      </c>
      <c r="AO52" s="17">
        <f t="shared" ref="AO52" si="163">IF(AO8&gt;$B$48,0,AN54)</f>
        <v>0</v>
      </c>
      <c r="AP52" s="17">
        <f t="shared" ref="AP52" si="164">IF(AP8&gt;$B$48,0,AO54)</f>
        <v>0</v>
      </c>
      <c r="AQ52" s="17">
        <f t="shared" ref="AQ52" si="165">IF(AQ8&gt;$B$48,0,AP54)</f>
        <v>0</v>
      </c>
      <c r="AR52" s="17">
        <f t="shared" ref="AR52" si="166">IF(AR8&gt;$B$48,0,AQ54)</f>
        <v>0</v>
      </c>
      <c r="AS52" s="17">
        <f t="shared" ref="AS52" si="167">IF(AS8&gt;$B$48,0,AR54)</f>
        <v>0</v>
      </c>
      <c r="AT52" s="17">
        <f t="shared" ref="AT52" si="168">IF(AT8&gt;$B$48,0,AS54)</f>
        <v>0</v>
      </c>
      <c r="AU52" s="17">
        <f t="shared" ref="AU52" si="169">IF(AU8&gt;$B$48,0,AT54)</f>
        <v>0</v>
      </c>
      <c r="AV52" s="17">
        <f t="shared" ref="AV52" si="170">IF(AV8&gt;$B$48,0,AU54)</f>
        <v>0</v>
      </c>
      <c r="AW52" s="17">
        <f t="shared" ref="AW52" si="171">IF(AW8&gt;$B$48,0,AV54)</f>
        <v>0</v>
      </c>
      <c r="AX52" s="17">
        <f t="shared" ref="AX52" si="172">IF(AX8&gt;$B$48,0,AW54)</f>
        <v>0</v>
      </c>
      <c r="AY52" s="17">
        <f t="shared" ref="AY52" si="173">IF(AY8&gt;$B$48,0,AX54)</f>
        <v>0</v>
      </c>
      <c r="AZ52" s="17">
        <f t="shared" ref="AZ52" si="174">IF(AZ8&gt;$B$48,0,AY54)</f>
        <v>0</v>
      </c>
      <c r="BA52" s="17">
        <f t="shared" ref="BA52" si="175">IF(BA8&gt;$B$48,0,AZ54)</f>
        <v>0</v>
      </c>
      <c r="BB52" s="17">
        <f t="shared" ref="BB52" si="176">IF(BB8&gt;$B$48,0,BA54)</f>
        <v>0</v>
      </c>
      <c r="BC52" s="17">
        <f t="shared" ref="BC52" si="177">IF(BC8&gt;$B$48,0,BB54)</f>
        <v>0</v>
      </c>
      <c r="BD52" s="17">
        <f t="shared" ref="BD52" si="178">IF(BD8&gt;$B$48,0,BC54)</f>
        <v>0</v>
      </c>
      <c r="BE52" s="17">
        <f t="shared" ref="BE52" si="179">IF(BE8&gt;$B$48,0,BD54)</f>
        <v>0</v>
      </c>
      <c r="BF52" s="17">
        <f t="shared" ref="BF52" si="180">IF(BF8&gt;$B$48,0,BE54)</f>
        <v>0</v>
      </c>
      <c r="BG52" s="17">
        <f t="shared" ref="BG52" si="181">IF(BG8&gt;$B$48,0,BF54)</f>
        <v>0</v>
      </c>
      <c r="BH52" s="17">
        <f t="shared" ref="BH52" si="182">IF(BH8&gt;$B$48,0,BG54)</f>
        <v>0</v>
      </c>
      <c r="BI52" s="17">
        <f t="shared" ref="BI52" si="183">IF(BI8&gt;$B$48,0,BH54)</f>
        <v>0</v>
      </c>
      <c r="BJ52" s="17">
        <f t="shared" ref="BJ52" si="184">IF(BJ8&gt;$B$48,0,BI54)</f>
        <v>0</v>
      </c>
      <c r="BK52" s="17">
        <f t="shared" ref="BK52" si="185">IF(BK8&gt;$B$48,0,BJ54)</f>
        <v>0</v>
      </c>
    </row>
    <row r="53" spans="1:63">
      <c r="A53" s="11" t="s">
        <v>220</v>
      </c>
      <c r="B53" s="100">
        <f ca="1">SUM(C53:BK53)</f>
        <v>0</v>
      </c>
      <c r="C53" s="17">
        <f ca="1">IF(AND(C42=0,C47=0),C34-C46,0)</f>
        <v>0</v>
      </c>
      <c r="D53" s="17">
        <f t="shared" ref="D53:I53" ca="1" si="186">IF(AND(D42=0,D47=0),D34-D46,0)</f>
        <v>0</v>
      </c>
      <c r="E53" s="17">
        <f t="shared" ca="1" si="186"/>
        <v>0</v>
      </c>
      <c r="F53" s="17">
        <f t="shared" ca="1" si="186"/>
        <v>0</v>
      </c>
      <c r="G53" s="17">
        <f t="shared" ca="1" si="186"/>
        <v>0</v>
      </c>
      <c r="H53" s="17">
        <f t="shared" ca="1" si="186"/>
        <v>0</v>
      </c>
      <c r="I53" s="17">
        <f t="shared" ca="1" si="186"/>
        <v>0</v>
      </c>
      <c r="J53" s="17">
        <f t="shared" ref="J53:BK53" ca="1" si="187">IF(AND(J42=0,J47=0),J34-J46,0)</f>
        <v>0</v>
      </c>
      <c r="K53" s="17">
        <f t="shared" ca="1" si="187"/>
        <v>0</v>
      </c>
      <c r="L53" s="17">
        <f t="shared" ca="1" si="187"/>
        <v>0</v>
      </c>
      <c r="M53" s="17">
        <f t="shared" ca="1" si="187"/>
        <v>0</v>
      </c>
      <c r="N53" s="17">
        <f t="shared" ca="1" si="187"/>
        <v>0</v>
      </c>
      <c r="O53" s="17">
        <f t="shared" ca="1" si="187"/>
        <v>0</v>
      </c>
      <c r="P53" s="17">
        <f t="shared" ca="1" si="187"/>
        <v>0</v>
      </c>
      <c r="Q53" s="17">
        <f t="shared" ca="1" si="187"/>
        <v>0</v>
      </c>
      <c r="R53" s="17">
        <f t="shared" ca="1" si="187"/>
        <v>0</v>
      </c>
      <c r="S53" s="17">
        <f t="shared" ca="1" si="187"/>
        <v>0</v>
      </c>
      <c r="T53" s="17">
        <f t="shared" ca="1" si="187"/>
        <v>0</v>
      </c>
      <c r="U53" s="17">
        <f t="shared" ca="1" si="187"/>
        <v>0</v>
      </c>
      <c r="V53" s="17">
        <f t="shared" ca="1" si="187"/>
        <v>0</v>
      </c>
      <c r="W53" s="17">
        <f t="shared" ca="1" si="187"/>
        <v>0</v>
      </c>
      <c r="X53" s="17">
        <f t="shared" ca="1" si="187"/>
        <v>0</v>
      </c>
      <c r="Y53" s="17">
        <f t="shared" ca="1" si="187"/>
        <v>0</v>
      </c>
      <c r="Z53" s="17">
        <f t="shared" ca="1" si="187"/>
        <v>0</v>
      </c>
      <c r="AA53" s="17">
        <f t="shared" ca="1" si="187"/>
        <v>0</v>
      </c>
      <c r="AB53" s="17">
        <f t="shared" ca="1" si="187"/>
        <v>0</v>
      </c>
      <c r="AC53" s="17">
        <f t="shared" ca="1" si="187"/>
        <v>-4.7128926076402422</v>
      </c>
      <c r="AD53" s="17">
        <f t="shared" ca="1" si="187"/>
        <v>0</v>
      </c>
      <c r="AE53" s="17">
        <f t="shared" ca="1" si="187"/>
        <v>0</v>
      </c>
      <c r="AF53" s="17">
        <f t="shared" ca="1" si="187"/>
        <v>0</v>
      </c>
      <c r="AG53" s="17">
        <f t="shared" ca="1" si="187"/>
        <v>0</v>
      </c>
      <c r="AH53" s="17">
        <f t="shared" ca="1" si="187"/>
        <v>0</v>
      </c>
      <c r="AI53" s="17">
        <f t="shared" ca="1" si="187"/>
        <v>0</v>
      </c>
      <c r="AJ53" s="17">
        <f t="shared" ca="1" si="187"/>
        <v>0</v>
      </c>
      <c r="AK53" s="17">
        <f t="shared" ca="1" si="187"/>
        <v>0</v>
      </c>
      <c r="AL53" s="17">
        <f t="shared" ca="1" si="187"/>
        <v>0</v>
      </c>
      <c r="AM53" s="17">
        <f t="shared" ca="1" si="187"/>
        <v>0</v>
      </c>
      <c r="AN53" s="17">
        <f t="shared" ca="1" si="187"/>
        <v>0</v>
      </c>
      <c r="AO53" s="17">
        <f t="shared" ca="1" si="187"/>
        <v>0</v>
      </c>
      <c r="AP53" s="17">
        <f t="shared" ca="1" si="187"/>
        <v>0</v>
      </c>
      <c r="AQ53" s="17">
        <f t="shared" ca="1" si="187"/>
        <v>0</v>
      </c>
      <c r="AR53" s="17">
        <f t="shared" ca="1" si="187"/>
        <v>0</v>
      </c>
      <c r="AS53" s="17">
        <f t="shared" ca="1" si="187"/>
        <v>0</v>
      </c>
      <c r="AT53" s="17">
        <f t="shared" ca="1" si="187"/>
        <v>0</v>
      </c>
      <c r="AU53" s="17">
        <f t="shared" ca="1" si="187"/>
        <v>0</v>
      </c>
      <c r="AV53" s="17">
        <f t="shared" ca="1" si="187"/>
        <v>0</v>
      </c>
      <c r="AW53" s="17">
        <f t="shared" ca="1" si="187"/>
        <v>0</v>
      </c>
      <c r="AX53" s="17">
        <f t="shared" ca="1" si="187"/>
        <v>0</v>
      </c>
      <c r="AY53" s="17">
        <f t="shared" ca="1" si="187"/>
        <v>0</v>
      </c>
      <c r="AZ53" s="17">
        <f t="shared" ca="1" si="187"/>
        <v>0</v>
      </c>
      <c r="BA53" s="17">
        <f t="shared" ca="1" si="187"/>
        <v>0</v>
      </c>
      <c r="BB53" s="17">
        <f t="shared" ca="1" si="187"/>
        <v>0</v>
      </c>
      <c r="BC53" s="17">
        <f t="shared" ca="1" si="187"/>
        <v>0</v>
      </c>
      <c r="BD53" s="17">
        <f t="shared" ca="1" si="187"/>
        <v>0</v>
      </c>
      <c r="BE53" s="17">
        <f t="shared" ca="1" si="187"/>
        <v>0</v>
      </c>
      <c r="BF53" s="17">
        <f t="shared" ca="1" si="187"/>
        <v>0</v>
      </c>
      <c r="BG53" s="17">
        <f t="shared" ca="1" si="187"/>
        <v>0</v>
      </c>
      <c r="BH53" s="17">
        <f t="shared" ca="1" si="187"/>
        <v>0</v>
      </c>
      <c r="BI53" s="17">
        <f t="shared" ca="1" si="187"/>
        <v>0</v>
      </c>
      <c r="BJ53" s="17">
        <f t="shared" ca="1" si="187"/>
        <v>0</v>
      </c>
      <c r="BK53" s="17">
        <f t="shared" ca="1" si="187"/>
        <v>0</v>
      </c>
    </row>
    <row r="54" spans="1:63">
      <c r="A54" s="11" t="s">
        <v>221</v>
      </c>
      <c r="B54" s="99"/>
      <c r="C54" s="17">
        <f t="shared" ref="C54:I54" ca="1" si="188">SUM(C52:C53)</f>
        <v>0</v>
      </c>
      <c r="D54" s="17">
        <f t="shared" ca="1" si="188"/>
        <v>0</v>
      </c>
      <c r="E54" s="17">
        <f t="shared" ca="1" si="188"/>
        <v>0</v>
      </c>
      <c r="F54" s="17">
        <f t="shared" ca="1" si="188"/>
        <v>0</v>
      </c>
      <c r="G54" s="17">
        <f t="shared" ca="1" si="188"/>
        <v>0</v>
      </c>
      <c r="H54" s="17">
        <f t="shared" ca="1" si="188"/>
        <v>0</v>
      </c>
      <c r="I54" s="17">
        <f t="shared" ca="1" si="188"/>
        <v>0</v>
      </c>
      <c r="J54" s="17">
        <f t="shared" ref="J54:BK54" ca="1" si="189">SUM(J52:J53)</f>
        <v>0</v>
      </c>
      <c r="K54" s="17">
        <f t="shared" ca="1" si="189"/>
        <v>0</v>
      </c>
      <c r="L54" s="17">
        <f t="shared" ca="1" si="189"/>
        <v>0</v>
      </c>
      <c r="M54" s="17">
        <f t="shared" ca="1" si="189"/>
        <v>0</v>
      </c>
      <c r="N54" s="17">
        <f t="shared" ca="1" si="189"/>
        <v>0</v>
      </c>
      <c r="O54" s="17">
        <f t="shared" ca="1" si="189"/>
        <v>0</v>
      </c>
      <c r="P54" s="17">
        <f t="shared" ca="1" si="189"/>
        <v>0</v>
      </c>
      <c r="Q54" s="17">
        <f t="shared" ca="1" si="189"/>
        <v>0</v>
      </c>
      <c r="R54" s="17">
        <f t="shared" ca="1" si="189"/>
        <v>0</v>
      </c>
      <c r="S54" s="17">
        <f t="shared" ca="1" si="189"/>
        <v>0</v>
      </c>
      <c r="T54" s="17">
        <f t="shared" ca="1" si="189"/>
        <v>0</v>
      </c>
      <c r="U54" s="17">
        <f t="shared" ca="1" si="189"/>
        <v>0</v>
      </c>
      <c r="V54" s="17">
        <f t="shared" ca="1" si="189"/>
        <v>0</v>
      </c>
      <c r="W54" s="17">
        <f t="shared" ca="1" si="189"/>
        <v>0</v>
      </c>
      <c r="X54" s="17">
        <f t="shared" ca="1" si="189"/>
        <v>0</v>
      </c>
      <c r="Y54" s="17">
        <f t="shared" ca="1" si="189"/>
        <v>0</v>
      </c>
      <c r="Z54" s="17">
        <f t="shared" ca="1" si="189"/>
        <v>0</v>
      </c>
      <c r="AA54" s="17">
        <f t="shared" ca="1" si="189"/>
        <v>0</v>
      </c>
      <c r="AB54" s="17">
        <f t="shared" ca="1" si="189"/>
        <v>0</v>
      </c>
      <c r="AC54" s="17">
        <f t="shared" ca="1" si="189"/>
        <v>-4.7128926076402422</v>
      </c>
      <c r="AD54" s="17">
        <f t="shared" ca="1" si="189"/>
        <v>0</v>
      </c>
      <c r="AE54" s="17">
        <f t="shared" ca="1" si="189"/>
        <v>0</v>
      </c>
      <c r="AF54" s="17">
        <f t="shared" ca="1" si="189"/>
        <v>0</v>
      </c>
      <c r="AG54" s="17">
        <f t="shared" ca="1" si="189"/>
        <v>-1.9586712467717007</v>
      </c>
      <c r="AH54" s="17">
        <f t="shared" ca="1" si="189"/>
        <v>0</v>
      </c>
      <c r="AI54" s="17">
        <f t="shared" ca="1" si="189"/>
        <v>0</v>
      </c>
      <c r="AJ54" s="17">
        <f t="shared" ca="1" si="189"/>
        <v>0</v>
      </c>
      <c r="AK54" s="17">
        <f t="shared" ca="1" si="189"/>
        <v>0</v>
      </c>
      <c r="AL54" s="17">
        <f t="shared" ca="1" si="189"/>
        <v>0</v>
      </c>
      <c r="AM54" s="17">
        <f t="shared" ca="1" si="189"/>
        <v>0</v>
      </c>
      <c r="AN54" s="17">
        <f t="shared" ca="1" si="189"/>
        <v>0</v>
      </c>
      <c r="AO54" s="17">
        <f t="shared" ca="1" si="189"/>
        <v>0</v>
      </c>
      <c r="AP54" s="17">
        <f t="shared" ca="1" si="189"/>
        <v>0</v>
      </c>
      <c r="AQ54" s="17">
        <f t="shared" ca="1" si="189"/>
        <v>0</v>
      </c>
      <c r="AR54" s="17">
        <f t="shared" ca="1" si="189"/>
        <v>0</v>
      </c>
      <c r="AS54" s="17">
        <f t="shared" ca="1" si="189"/>
        <v>0</v>
      </c>
      <c r="AT54" s="17">
        <f t="shared" ca="1" si="189"/>
        <v>0</v>
      </c>
      <c r="AU54" s="17">
        <f t="shared" ca="1" si="189"/>
        <v>0</v>
      </c>
      <c r="AV54" s="17">
        <f t="shared" ca="1" si="189"/>
        <v>0</v>
      </c>
      <c r="AW54" s="17">
        <f t="shared" ca="1" si="189"/>
        <v>0</v>
      </c>
      <c r="AX54" s="17">
        <f t="shared" ca="1" si="189"/>
        <v>0</v>
      </c>
      <c r="AY54" s="17">
        <f t="shared" ca="1" si="189"/>
        <v>0</v>
      </c>
      <c r="AZ54" s="17">
        <f t="shared" ca="1" si="189"/>
        <v>0</v>
      </c>
      <c r="BA54" s="17">
        <f t="shared" ca="1" si="189"/>
        <v>0</v>
      </c>
      <c r="BB54" s="17">
        <f t="shared" ca="1" si="189"/>
        <v>0</v>
      </c>
      <c r="BC54" s="17">
        <f t="shared" ca="1" si="189"/>
        <v>0</v>
      </c>
      <c r="BD54" s="17">
        <f t="shared" ca="1" si="189"/>
        <v>0</v>
      </c>
      <c r="BE54" s="17">
        <f t="shared" ca="1" si="189"/>
        <v>0</v>
      </c>
      <c r="BF54" s="17">
        <f t="shared" ca="1" si="189"/>
        <v>0</v>
      </c>
      <c r="BG54" s="17">
        <f t="shared" ca="1" si="189"/>
        <v>0</v>
      </c>
      <c r="BH54" s="17">
        <f t="shared" ca="1" si="189"/>
        <v>0</v>
      </c>
      <c r="BI54" s="17">
        <f t="shared" ca="1" si="189"/>
        <v>0</v>
      </c>
      <c r="BJ54" s="17">
        <f t="shared" ca="1" si="189"/>
        <v>0</v>
      </c>
      <c r="BK54" s="17">
        <f t="shared" ca="1" si="189"/>
        <v>0</v>
      </c>
    </row>
    <row r="55" spans="1:63">
      <c r="A55" s="11"/>
      <c r="B55" s="9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</row>
    <row r="56" spans="1:63">
      <c r="A56" s="102" t="s">
        <v>222</v>
      </c>
      <c r="B56" s="99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</row>
    <row r="57" spans="1:63">
      <c r="A57" s="11" t="s">
        <v>223</v>
      </c>
      <c r="B57" s="99"/>
      <c r="C57" s="101">
        <v>0</v>
      </c>
      <c r="D57" s="17">
        <f t="shared" ref="D57:I57" ca="1" si="190">IF(D8&gt;$B$48,0,C60)</f>
        <v>0</v>
      </c>
      <c r="E57" s="17">
        <f t="shared" ca="1" si="190"/>
        <v>0</v>
      </c>
      <c r="F57" s="17">
        <f t="shared" ca="1" si="190"/>
        <v>0</v>
      </c>
      <c r="G57" s="17">
        <f t="shared" ca="1" si="190"/>
        <v>0</v>
      </c>
      <c r="H57" s="17">
        <f t="shared" ca="1" si="190"/>
        <v>0</v>
      </c>
      <c r="I57" s="17">
        <f t="shared" ca="1" si="190"/>
        <v>0</v>
      </c>
      <c r="J57" s="17">
        <f t="shared" ref="J57" ca="1" si="191">IF(J8&gt;$B$48,0,I60)</f>
        <v>0</v>
      </c>
      <c r="K57" s="17">
        <f t="shared" ref="K57" ca="1" si="192">IF(K8&gt;$B$48,0,J60)</f>
        <v>0</v>
      </c>
      <c r="L57" s="17">
        <f t="shared" ref="L57" ca="1" si="193">IF(L8&gt;$B$48,0,K60)</f>
        <v>0</v>
      </c>
      <c r="M57" s="17">
        <f t="shared" ref="M57" ca="1" si="194">IF(M8&gt;$B$48,0,L60)</f>
        <v>0</v>
      </c>
      <c r="N57" s="17">
        <f t="shared" ref="N57" ca="1" si="195">IF(N8&gt;$B$48,0,M60)</f>
        <v>0</v>
      </c>
      <c r="O57" s="17">
        <f t="shared" ref="O57" ca="1" si="196">IF(O8&gt;$B$48,0,N60)</f>
        <v>0</v>
      </c>
      <c r="P57" s="17">
        <f t="shared" ref="P57" ca="1" si="197">IF(P8&gt;$B$48,0,O60)</f>
        <v>0</v>
      </c>
      <c r="Q57" s="17">
        <f t="shared" ref="Q57" ca="1" si="198">IF(Q8&gt;$B$48,0,P60)</f>
        <v>0</v>
      </c>
      <c r="R57" s="17">
        <f t="shared" ref="R57" ca="1" si="199">IF(R8&gt;$B$48,0,Q60)</f>
        <v>0</v>
      </c>
      <c r="S57" s="17">
        <f t="shared" ref="S57" ca="1" si="200">IF(S8&gt;$B$48,0,R60)</f>
        <v>0</v>
      </c>
      <c r="T57" s="17">
        <f t="shared" ref="T57" ca="1" si="201">IF(T8&gt;$B$48,0,S60)</f>
        <v>0</v>
      </c>
      <c r="U57" s="17">
        <f t="shared" ref="U57" ca="1" si="202">IF(U8&gt;$B$48,0,T60)</f>
        <v>0</v>
      </c>
      <c r="V57" s="17">
        <f t="shared" ref="V57" ca="1" si="203">IF(V8&gt;$B$48,0,U60)</f>
        <v>0</v>
      </c>
      <c r="W57" s="17">
        <f t="shared" ref="W57" ca="1" si="204">IF(W8&gt;$B$48,0,V60)</f>
        <v>0</v>
      </c>
      <c r="X57" s="17">
        <f t="shared" ref="X57" ca="1" si="205">IF(X8&gt;$B$48,0,W60)</f>
        <v>0</v>
      </c>
      <c r="Y57" s="17">
        <f t="shared" ref="Y57" ca="1" si="206">IF(Y8&gt;$B$48,0,X60)</f>
        <v>0</v>
      </c>
      <c r="Z57" s="17">
        <f t="shared" ref="Z57" ca="1" si="207">IF(Z8&gt;$B$48,0,Y60)</f>
        <v>0</v>
      </c>
      <c r="AA57" s="17">
        <f t="shared" ref="AA57" ca="1" si="208">IF(AA8&gt;$B$48,0,Z60)</f>
        <v>0</v>
      </c>
      <c r="AB57" s="17">
        <f t="shared" ref="AB57" ca="1" si="209">IF(AB8&gt;$B$48,0,AA60)</f>
        <v>0</v>
      </c>
      <c r="AC57" s="17">
        <f t="shared" ref="AC57" ca="1" si="210">IF(AC8&gt;$B$48,0,AB60)</f>
        <v>0</v>
      </c>
      <c r="AD57" s="17">
        <f t="shared" ref="AD57" ca="1" si="211">IF(AD8&gt;$B$48,0,AC60)</f>
        <v>0</v>
      </c>
      <c r="AE57" s="17">
        <f t="shared" ref="AE57" ca="1" si="212">IF(AE8&gt;$B$48,0,AD60)</f>
        <v>0</v>
      </c>
      <c r="AF57" s="17">
        <f t="shared" ref="AF57" ca="1" si="213">IF(AF8&gt;$B$48,0,AE60)</f>
        <v>0</v>
      </c>
      <c r="AG57" s="17">
        <f t="shared" ref="AG57" ca="1" si="214">IF(AG8&gt;$B$48,0,AF60)</f>
        <v>-2.0430996269105259</v>
      </c>
      <c r="AH57" s="17">
        <f t="shared" ref="AH57" si="215">IF(AH8&gt;$B$48,0,AG60)</f>
        <v>0</v>
      </c>
      <c r="AI57" s="17">
        <f t="shared" ref="AI57" si="216">IF(AI8&gt;$B$48,0,AH60)</f>
        <v>0</v>
      </c>
      <c r="AJ57" s="17">
        <f t="shared" ref="AJ57" si="217">IF(AJ8&gt;$B$48,0,AI60)</f>
        <v>0</v>
      </c>
      <c r="AK57" s="17">
        <f t="shared" ref="AK57" si="218">IF(AK8&gt;$B$48,0,AJ60)</f>
        <v>0</v>
      </c>
      <c r="AL57" s="17">
        <f t="shared" ref="AL57" si="219">IF(AL8&gt;$B$48,0,AK60)</f>
        <v>0</v>
      </c>
      <c r="AM57" s="17">
        <f t="shared" ref="AM57" si="220">IF(AM8&gt;$B$48,0,AL60)</f>
        <v>0</v>
      </c>
      <c r="AN57" s="17">
        <f t="shared" ref="AN57" si="221">IF(AN8&gt;$B$48,0,AM60)</f>
        <v>0</v>
      </c>
      <c r="AO57" s="17">
        <f t="shared" ref="AO57" si="222">IF(AO8&gt;$B$48,0,AN60)</f>
        <v>0</v>
      </c>
      <c r="AP57" s="17">
        <f t="shared" ref="AP57" si="223">IF(AP8&gt;$B$48,0,AO60)</f>
        <v>0</v>
      </c>
      <c r="AQ57" s="17">
        <f t="shared" ref="AQ57" si="224">IF(AQ8&gt;$B$48,0,AP60)</f>
        <v>0</v>
      </c>
      <c r="AR57" s="17">
        <f t="shared" ref="AR57" si="225">IF(AR8&gt;$B$48,0,AQ60)</f>
        <v>0</v>
      </c>
      <c r="AS57" s="17">
        <f t="shared" ref="AS57" si="226">IF(AS8&gt;$B$48,0,AR60)</f>
        <v>0</v>
      </c>
      <c r="AT57" s="17">
        <f t="shared" ref="AT57" si="227">IF(AT8&gt;$B$48,0,AS60)</f>
        <v>0</v>
      </c>
      <c r="AU57" s="17">
        <f t="shared" ref="AU57" si="228">IF(AU8&gt;$B$48,0,AT60)</f>
        <v>0</v>
      </c>
      <c r="AV57" s="17">
        <f t="shared" ref="AV57" si="229">IF(AV8&gt;$B$48,0,AU60)</f>
        <v>0</v>
      </c>
      <c r="AW57" s="17">
        <f t="shared" ref="AW57" si="230">IF(AW8&gt;$B$48,0,AV60)</f>
        <v>0</v>
      </c>
      <c r="AX57" s="17">
        <f t="shared" ref="AX57" si="231">IF(AX8&gt;$B$48,0,AW60)</f>
        <v>0</v>
      </c>
      <c r="AY57" s="17">
        <f t="shared" ref="AY57" si="232">IF(AY8&gt;$B$48,0,AX60)</f>
        <v>0</v>
      </c>
      <c r="AZ57" s="17">
        <f t="shared" ref="AZ57" si="233">IF(AZ8&gt;$B$48,0,AY60)</f>
        <v>0</v>
      </c>
      <c r="BA57" s="17">
        <f t="shared" ref="BA57" si="234">IF(BA8&gt;$B$48,0,AZ60)</f>
        <v>0</v>
      </c>
      <c r="BB57" s="17">
        <f t="shared" ref="BB57" si="235">IF(BB8&gt;$B$48,0,BA60)</f>
        <v>0</v>
      </c>
      <c r="BC57" s="17">
        <f t="shared" ref="BC57" si="236">IF(BC8&gt;$B$48,0,BB60)</f>
        <v>0</v>
      </c>
      <c r="BD57" s="17">
        <f t="shared" ref="BD57" si="237">IF(BD8&gt;$B$48,0,BC60)</f>
        <v>0</v>
      </c>
      <c r="BE57" s="17">
        <f t="shared" ref="BE57" si="238">IF(BE8&gt;$B$48,0,BD60)</f>
        <v>0</v>
      </c>
      <c r="BF57" s="17">
        <f t="shared" ref="BF57" si="239">IF(BF8&gt;$B$48,0,BE60)</f>
        <v>0</v>
      </c>
      <c r="BG57" s="17">
        <f t="shared" ref="BG57" si="240">IF(BG8&gt;$B$48,0,BF60)</f>
        <v>0</v>
      </c>
      <c r="BH57" s="17">
        <f t="shared" ref="BH57" si="241">IF(BH8&gt;$B$48,0,BG60)</f>
        <v>0</v>
      </c>
      <c r="BI57" s="17">
        <f t="shared" ref="BI57" si="242">IF(BI8&gt;$B$48,0,BH60)</f>
        <v>0</v>
      </c>
      <c r="BJ57" s="17">
        <f t="shared" ref="BJ57" si="243">IF(BJ8&gt;$B$48,0,BI60)</f>
        <v>0</v>
      </c>
      <c r="BK57" s="17">
        <f t="shared" ref="BK57" si="244">IF(BK8&gt;$B$48,0,BJ60)</f>
        <v>0</v>
      </c>
    </row>
    <row r="58" spans="1:63">
      <c r="A58" s="11" t="s">
        <v>224</v>
      </c>
      <c r="B58" s="99"/>
      <c r="C58" s="17">
        <f ca="1">C53</f>
        <v>0</v>
      </c>
      <c r="D58" s="17">
        <f ca="1">D53</f>
        <v>0</v>
      </c>
      <c r="E58" s="17">
        <f t="shared" ref="E58:I58" ca="1" si="245">E53</f>
        <v>0</v>
      </c>
      <c r="F58" s="17">
        <f t="shared" ca="1" si="245"/>
        <v>0</v>
      </c>
      <c r="G58" s="17">
        <f t="shared" ca="1" si="245"/>
        <v>0</v>
      </c>
      <c r="H58" s="17">
        <f t="shared" ca="1" si="245"/>
        <v>0</v>
      </c>
      <c r="I58" s="17">
        <f t="shared" ca="1" si="245"/>
        <v>0</v>
      </c>
      <c r="J58" s="17">
        <f t="shared" ref="J58:BK58" ca="1" si="246">J53</f>
        <v>0</v>
      </c>
      <c r="K58" s="17">
        <f t="shared" ca="1" si="246"/>
        <v>0</v>
      </c>
      <c r="L58" s="17">
        <f t="shared" ca="1" si="246"/>
        <v>0</v>
      </c>
      <c r="M58" s="17">
        <f t="shared" ca="1" si="246"/>
        <v>0</v>
      </c>
      <c r="N58" s="17">
        <f t="shared" ca="1" si="246"/>
        <v>0</v>
      </c>
      <c r="O58" s="17">
        <f t="shared" ca="1" si="246"/>
        <v>0</v>
      </c>
      <c r="P58" s="17">
        <f t="shared" ca="1" si="246"/>
        <v>0</v>
      </c>
      <c r="Q58" s="17">
        <f t="shared" ca="1" si="246"/>
        <v>0</v>
      </c>
      <c r="R58" s="17">
        <f t="shared" ca="1" si="246"/>
        <v>0</v>
      </c>
      <c r="S58" s="17">
        <f t="shared" ca="1" si="246"/>
        <v>0</v>
      </c>
      <c r="T58" s="17">
        <f t="shared" ca="1" si="246"/>
        <v>0</v>
      </c>
      <c r="U58" s="17">
        <f t="shared" ca="1" si="246"/>
        <v>0</v>
      </c>
      <c r="V58" s="17">
        <f t="shared" ca="1" si="246"/>
        <v>0</v>
      </c>
      <c r="W58" s="17">
        <f t="shared" ca="1" si="246"/>
        <v>0</v>
      </c>
      <c r="X58" s="17">
        <f t="shared" ca="1" si="246"/>
        <v>0</v>
      </c>
      <c r="Y58" s="17">
        <f t="shared" ca="1" si="246"/>
        <v>0</v>
      </c>
      <c r="Z58" s="17">
        <f t="shared" ca="1" si="246"/>
        <v>0</v>
      </c>
      <c r="AA58" s="17">
        <f t="shared" ca="1" si="246"/>
        <v>0</v>
      </c>
      <c r="AB58" s="17">
        <f t="shared" ca="1" si="246"/>
        <v>0</v>
      </c>
      <c r="AC58" s="17">
        <f t="shared" ca="1" si="246"/>
        <v>-4.7128926076402422</v>
      </c>
      <c r="AD58" s="17">
        <f t="shared" ca="1" si="246"/>
        <v>0</v>
      </c>
      <c r="AE58" s="17">
        <f t="shared" ca="1" si="246"/>
        <v>0</v>
      </c>
      <c r="AF58" s="17">
        <f t="shared" ca="1" si="246"/>
        <v>0</v>
      </c>
      <c r="AG58" s="17">
        <f t="shared" ca="1" si="246"/>
        <v>0</v>
      </c>
      <c r="AH58" s="17">
        <f t="shared" ca="1" si="246"/>
        <v>0</v>
      </c>
      <c r="AI58" s="17">
        <f t="shared" ca="1" si="246"/>
        <v>0</v>
      </c>
      <c r="AJ58" s="17">
        <f t="shared" ca="1" si="246"/>
        <v>0</v>
      </c>
      <c r="AK58" s="17">
        <f t="shared" ca="1" si="246"/>
        <v>0</v>
      </c>
      <c r="AL58" s="17">
        <f t="shared" ca="1" si="246"/>
        <v>0</v>
      </c>
      <c r="AM58" s="17">
        <f t="shared" ca="1" si="246"/>
        <v>0</v>
      </c>
      <c r="AN58" s="17">
        <f t="shared" ca="1" si="246"/>
        <v>0</v>
      </c>
      <c r="AO58" s="17">
        <f t="shared" ca="1" si="246"/>
        <v>0</v>
      </c>
      <c r="AP58" s="17">
        <f t="shared" ca="1" si="246"/>
        <v>0</v>
      </c>
      <c r="AQ58" s="17">
        <f t="shared" ca="1" si="246"/>
        <v>0</v>
      </c>
      <c r="AR58" s="17">
        <f t="shared" ca="1" si="246"/>
        <v>0</v>
      </c>
      <c r="AS58" s="17">
        <f t="shared" ca="1" si="246"/>
        <v>0</v>
      </c>
      <c r="AT58" s="17">
        <f t="shared" ca="1" si="246"/>
        <v>0</v>
      </c>
      <c r="AU58" s="17">
        <f t="shared" ca="1" si="246"/>
        <v>0</v>
      </c>
      <c r="AV58" s="17">
        <f t="shared" ca="1" si="246"/>
        <v>0</v>
      </c>
      <c r="AW58" s="17">
        <f t="shared" ca="1" si="246"/>
        <v>0</v>
      </c>
      <c r="AX58" s="17">
        <f t="shared" ca="1" si="246"/>
        <v>0</v>
      </c>
      <c r="AY58" s="17">
        <f t="shared" ca="1" si="246"/>
        <v>0</v>
      </c>
      <c r="AZ58" s="17">
        <f t="shared" ca="1" si="246"/>
        <v>0</v>
      </c>
      <c r="BA58" s="17">
        <f t="shared" ca="1" si="246"/>
        <v>0</v>
      </c>
      <c r="BB58" s="17">
        <f t="shared" ca="1" si="246"/>
        <v>0</v>
      </c>
      <c r="BC58" s="17">
        <f t="shared" ca="1" si="246"/>
        <v>0</v>
      </c>
      <c r="BD58" s="17">
        <f t="shared" ca="1" si="246"/>
        <v>0</v>
      </c>
      <c r="BE58" s="17">
        <f t="shared" ca="1" si="246"/>
        <v>0</v>
      </c>
      <c r="BF58" s="17">
        <f t="shared" ca="1" si="246"/>
        <v>0</v>
      </c>
      <c r="BG58" s="17">
        <f t="shared" ca="1" si="246"/>
        <v>0</v>
      </c>
      <c r="BH58" s="17">
        <f t="shared" ca="1" si="246"/>
        <v>0</v>
      </c>
      <c r="BI58" s="17">
        <f t="shared" ca="1" si="246"/>
        <v>0</v>
      </c>
      <c r="BJ58" s="17">
        <f t="shared" ca="1" si="246"/>
        <v>0</v>
      </c>
      <c r="BK58" s="17">
        <f t="shared" ca="1" si="246"/>
        <v>0</v>
      </c>
    </row>
    <row r="59" spans="1:63">
      <c r="A59" s="11" t="s">
        <v>158</v>
      </c>
      <c r="B59" s="99">
        <f>Inputs!K68</f>
        <v>0.17</v>
      </c>
      <c r="C59" s="17">
        <f t="shared" ref="C59:I59" si="247">C57*$B$59/12</f>
        <v>0</v>
      </c>
      <c r="D59" s="17">
        <f t="shared" ca="1" si="247"/>
        <v>0</v>
      </c>
      <c r="E59" s="17">
        <f t="shared" ca="1" si="247"/>
        <v>0</v>
      </c>
      <c r="F59" s="17">
        <f t="shared" ca="1" si="247"/>
        <v>0</v>
      </c>
      <c r="G59" s="17">
        <f t="shared" ca="1" si="247"/>
        <v>0</v>
      </c>
      <c r="H59" s="17">
        <f t="shared" ca="1" si="247"/>
        <v>0</v>
      </c>
      <c r="I59" s="17">
        <f t="shared" ca="1" si="247"/>
        <v>0</v>
      </c>
      <c r="J59" s="17">
        <f t="shared" ref="J59:BK59" ca="1" si="248">J57*$B$59/12</f>
        <v>0</v>
      </c>
      <c r="K59" s="17">
        <f t="shared" ca="1" si="248"/>
        <v>0</v>
      </c>
      <c r="L59" s="17">
        <f t="shared" ca="1" si="248"/>
        <v>0</v>
      </c>
      <c r="M59" s="17">
        <f t="shared" ca="1" si="248"/>
        <v>0</v>
      </c>
      <c r="N59" s="17">
        <f t="shared" ca="1" si="248"/>
        <v>0</v>
      </c>
      <c r="O59" s="17">
        <f t="shared" ca="1" si="248"/>
        <v>0</v>
      </c>
      <c r="P59" s="17">
        <f t="shared" ca="1" si="248"/>
        <v>0</v>
      </c>
      <c r="Q59" s="17">
        <f t="shared" ca="1" si="248"/>
        <v>0</v>
      </c>
      <c r="R59" s="17">
        <f t="shared" ca="1" si="248"/>
        <v>0</v>
      </c>
      <c r="S59" s="17">
        <f t="shared" ca="1" si="248"/>
        <v>0</v>
      </c>
      <c r="T59" s="17">
        <f t="shared" ca="1" si="248"/>
        <v>0</v>
      </c>
      <c r="U59" s="17">
        <f t="shared" ca="1" si="248"/>
        <v>0</v>
      </c>
      <c r="V59" s="17">
        <f t="shared" ca="1" si="248"/>
        <v>0</v>
      </c>
      <c r="W59" s="17">
        <f t="shared" ca="1" si="248"/>
        <v>0</v>
      </c>
      <c r="X59" s="17">
        <f t="shared" ca="1" si="248"/>
        <v>0</v>
      </c>
      <c r="Y59" s="17">
        <f t="shared" ca="1" si="248"/>
        <v>0</v>
      </c>
      <c r="Z59" s="17">
        <f t="shared" ca="1" si="248"/>
        <v>0</v>
      </c>
      <c r="AA59" s="17">
        <f t="shared" ca="1" si="248"/>
        <v>0</v>
      </c>
      <c r="AB59" s="17">
        <f t="shared" ca="1" si="248"/>
        <v>0</v>
      </c>
      <c r="AC59" s="17">
        <f t="shared" ca="1" si="248"/>
        <v>0</v>
      </c>
      <c r="AD59" s="17">
        <f t="shared" ca="1" si="248"/>
        <v>0</v>
      </c>
      <c r="AE59" s="17">
        <f t="shared" ca="1" si="248"/>
        <v>0</v>
      </c>
      <c r="AF59" s="17">
        <f t="shared" ca="1" si="248"/>
        <v>0</v>
      </c>
      <c r="AG59" s="17">
        <f t="shared" ca="1" si="248"/>
        <v>-2.8943911381232451E-2</v>
      </c>
      <c r="AH59" s="17">
        <f t="shared" si="248"/>
        <v>0</v>
      </c>
      <c r="AI59" s="17">
        <f t="shared" si="248"/>
        <v>0</v>
      </c>
      <c r="AJ59" s="17">
        <f t="shared" si="248"/>
        <v>0</v>
      </c>
      <c r="AK59" s="17">
        <f t="shared" si="248"/>
        <v>0</v>
      </c>
      <c r="AL59" s="17">
        <f t="shared" si="248"/>
        <v>0</v>
      </c>
      <c r="AM59" s="17">
        <f t="shared" si="248"/>
        <v>0</v>
      </c>
      <c r="AN59" s="17">
        <f t="shared" si="248"/>
        <v>0</v>
      </c>
      <c r="AO59" s="17">
        <f t="shared" si="248"/>
        <v>0</v>
      </c>
      <c r="AP59" s="17">
        <f t="shared" si="248"/>
        <v>0</v>
      </c>
      <c r="AQ59" s="17">
        <f t="shared" si="248"/>
        <v>0</v>
      </c>
      <c r="AR59" s="17">
        <f t="shared" si="248"/>
        <v>0</v>
      </c>
      <c r="AS59" s="17">
        <f t="shared" si="248"/>
        <v>0</v>
      </c>
      <c r="AT59" s="17">
        <f t="shared" si="248"/>
        <v>0</v>
      </c>
      <c r="AU59" s="17">
        <f t="shared" si="248"/>
        <v>0</v>
      </c>
      <c r="AV59" s="17">
        <f t="shared" si="248"/>
        <v>0</v>
      </c>
      <c r="AW59" s="17">
        <f t="shared" si="248"/>
        <v>0</v>
      </c>
      <c r="AX59" s="17">
        <f t="shared" si="248"/>
        <v>0</v>
      </c>
      <c r="AY59" s="17">
        <f t="shared" si="248"/>
        <v>0</v>
      </c>
      <c r="AZ59" s="17">
        <f t="shared" si="248"/>
        <v>0</v>
      </c>
      <c r="BA59" s="17">
        <f t="shared" si="248"/>
        <v>0</v>
      </c>
      <c r="BB59" s="17">
        <f t="shared" si="248"/>
        <v>0</v>
      </c>
      <c r="BC59" s="17">
        <f t="shared" si="248"/>
        <v>0</v>
      </c>
      <c r="BD59" s="17">
        <f t="shared" si="248"/>
        <v>0</v>
      </c>
      <c r="BE59" s="17">
        <f t="shared" si="248"/>
        <v>0</v>
      </c>
      <c r="BF59" s="17">
        <f t="shared" si="248"/>
        <v>0</v>
      </c>
      <c r="BG59" s="17">
        <f t="shared" si="248"/>
        <v>0</v>
      </c>
      <c r="BH59" s="17">
        <f t="shared" si="248"/>
        <v>0</v>
      </c>
      <c r="BI59" s="17">
        <f t="shared" si="248"/>
        <v>0</v>
      </c>
      <c r="BJ59" s="17">
        <f t="shared" si="248"/>
        <v>0</v>
      </c>
      <c r="BK59" s="17">
        <f t="shared" si="248"/>
        <v>0</v>
      </c>
    </row>
    <row r="60" spans="1:63">
      <c r="A60" s="11" t="s">
        <v>225</v>
      </c>
      <c r="B60" s="100">
        <f ca="1">MIN(C60:BK60)</f>
        <v>-3.8914028208615354</v>
      </c>
      <c r="C60" s="17">
        <f ca="1">SUM(C57:C59)</f>
        <v>0</v>
      </c>
      <c r="D60" s="17">
        <f ca="1">SUM(D57:D59)</f>
        <v>0</v>
      </c>
      <c r="E60" s="17">
        <f t="shared" ref="E60:I60" ca="1" si="249">SUM(E57:E59)</f>
        <v>0</v>
      </c>
      <c r="F60" s="17">
        <f t="shared" ca="1" si="249"/>
        <v>0</v>
      </c>
      <c r="G60" s="17">
        <f t="shared" ca="1" si="249"/>
        <v>0</v>
      </c>
      <c r="H60" s="17">
        <f t="shared" ca="1" si="249"/>
        <v>0</v>
      </c>
      <c r="I60" s="17">
        <f t="shared" ca="1" si="249"/>
        <v>0</v>
      </c>
      <c r="J60" s="17">
        <f t="shared" ref="J60:BK60" ca="1" si="250">SUM(J57:J59)</f>
        <v>0</v>
      </c>
      <c r="K60" s="17">
        <f t="shared" ca="1" si="250"/>
        <v>0</v>
      </c>
      <c r="L60" s="17">
        <f t="shared" ca="1" si="250"/>
        <v>0</v>
      </c>
      <c r="M60" s="17">
        <f t="shared" ca="1" si="250"/>
        <v>0</v>
      </c>
      <c r="N60" s="17">
        <f t="shared" ca="1" si="250"/>
        <v>0</v>
      </c>
      <c r="O60" s="17">
        <f t="shared" ca="1" si="250"/>
        <v>0</v>
      </c>
      <c r="P60" s="17">
        <f t="shared" ca="1" si="250"/>
        <v>0</v>
      </c>
      <c r="Q60" s="17">
        <f t="shared" ca="1" si="250"/>
        <v>0</v>
      </c>
      <c r="R60" s="17">
        <f t="shared" ca="1" si="250"/>
        <v>0</v>
      </c>
      <c r="S60" s="17">
        <f t="shared" ca="1" si="250"/>
        <v>0</v>
      </c>
      <c r="T60" s="17">
        <f t="shared" ca="1" si="250"/>
        <v>0</v>
      </c>
      <c r="U60" s="17">
        <f t="shared" ca="1" si="250"/>
        <v>0</v>
      </c>
      <c r="V60" s="17">
        <f t="shared" ca="1" si="250"/>
        <v>0</v>
      </c>
      <c r="W60" s="17">
        <f t="shared" ca="1" si="250"/>
        <v>0</v>
      </c>
      <c r="X60" s="17">
        <f t="shared" ca="1" si="250"/>
        <v>0</v>
      </c>
      <c r="Y60" s="17">
        <f t="shared" ca="1" si="250"/>
        <v>0</v>
      </c>
      <c r="Z60" s="17">
        <f t="shared" ca="1" si="250"/>
        <v>0</v>
      </c>
      <c r="AA60" s="17">
        <f t="shared" ca="1" si="250"/>
        <v>0</v>
      </c>
      <c r="AB60" s="17">
        <f t="shared" ca="1" si="250"/>
        <v>0</v>
      </c>
      <c r="AC60" s="17">
        <f t="shared" ca="1" si="250"/>
        <v>-4.7128926076402422</v>
      </c>
      <c r="AD60" s="17">
        <f t="shared" ca="1" si="250"/>
        <v>0</v>
      </c>
      <c r="AE60" s="17">
        <f t="shared" ca="1" si="250"/>
        <v>0</v>
      </c>
      <c r="AF60" s="17">
        <f t="shared" ca="1" si="250"/>
        <v>0</v>
      </c>
      <c r="AG60" s="17">
        <f t="shared" ca="1" si="250"/>
        <v>-2.0720435382917586</v>
      </c>
      <c r="AH60" s="17">
        <f t="shared" ca="1" si="250"/>
        <v>0</v>
      </c>
      <c r="AI60" s="17">
        <f t="shared" ca="1" si="250"/>
        <v>0</v>
      </c>
      <c r="AJ60" s="17">
        <f t="shared" ca="1" si="250"/>
        <v>0</v>
      </c>
      <c r="AK60" s="17">
        <f t="shared" ca="1" si="250"/>
        <v>0</v>
      </c>
      <c r="AL60" s="17">
        <f t="shared" ca="1" si="250"/>
        <v>0</v>
      </c>
      <c r="AM60" s="17">
        <f t="shared" ca="1" si="250"/>
        <v>0</v>
      </c>
      <c r="AN60" s="17">
        <f t="shared" ca="1" si="250"/>
        <v>0</v>
      </c>
      <c r="AO60" s="17">
        <f t="shared" ca="1" si="250"/>
        <v>0</v>
      </c>
      <c r="AP60" s="17">
        <f t="shared" ca="1" si="250"/>
        <v>0</v>
      </c>
      <c r="AQ60" s="17">
        <f t="shared" ca="1" si="250"/>
        <v>0</v>
      </c>
      <c r="AR60" s="17">
        <f t="shared" ca="1" si="250"/>
        <v>0</v>
      </c>
      <c r="AS60" s="17">
        <f t="shared" ca="1" si="250"/>
        <v>0</v>
      </c>
      <c r="AT60" s="17">
        <f t="shared" ca="1" si="250"/>
        <v>0</v>
      </c>
      <c r="AU60" s="17">
        <f t="shared" ca="1" si="250"/>
        <v>0</v>
      </c>
      <c r="AV60" s="17">
        <f t="shared" ca="1" si="250"/>
        <v>0</v>
      </c>
      <c r="AW60" s="17">
        <f t="shared" ca="1" si="250"/>
        <v>0</v>
      </c>
      <c r="AX60" s="17">
        <f t="shared" ca="1" si="250"/>
        <v>0</v>
      </c>
      <c r="AY60" s="17">
        <f t="shared" ca="1" si="250"/>
        <v>0</v>
      </c>
      <c r="AZ60" s="17">
        <f t="shared" ca="1" si="250"/>
        <v>0</v>
      </c>
      <c r="BA60" s="17">
        <f t="shared" ca="1" si="250"/>
        <v>0</v>
      </c>
      <c r="BB60" s="17">
        <f t="shared" ca="1" si="250"/>
        <v>0</v>
      </c>
      <c r="BC60" s="17">
        <f t="shared" ca="1" si="250"/>
        <v>0</v>
      </c>
      <c r="BD60" s="17">
        <f t="shared" ca="1" si="250"/>
        <v>0</v>
      </c>
      <c r="BE60" s="17">
        <f t="shared" ca="1" si="250"/>
        <v>0</v>
      </c>
      <c r="BF60" s="17">
        <f t="shared" ca="1" si="250"/>
        <v>0</v>
      </c>
      <c r="BG60" s="17">
        <f t="shared" ca="1" si="250"/>
        <v>0</v>
      </c>
      <c r="BH60" s="17">
        <f t="shared" ca="1" si="250"/>
        <v>0</v>
      </c>
      <c r="BI60" s="17">
        <f t="shared" ca="1" si="250"/>
        <v>0</v>
      </c>
      <c r="BJ60" s="17">
        <f t="shared" ca="1" si="250"/>
        <v>0</v>
      </c>
      <c r="BK60" s="17">
        <f t="shared" ca="1" si="250"/>
        <v>0</v>
      </c>
    </row>
    <row r="61" spans="1:63">
      <c r="A61" s="11"/>
      <c r="B61" s="10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3">
      <c r="A62" s="374" t="s">
        <v>226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4"/>
      <c r="AN62" s="374"/>
      <c r="AO62" s="374"/>
      <c r="AP62" s="374"/>
      <c r="AQ62" s="374"/>
      <c r="AR62" s="374"/>
      <c r="AS62" s="374"/>
      <c r="AT62" s="374"/>
      <c r="AU62" s="374"/>
      <c r="AV62" s="374"/>
      <c r="AW62" s="374"/>
      <c r="AX62" s="374"/>
      <c r="AY62" s="374"/>
      <c r="AZ62" s="374"/>
      <c r="BA62" s="374"/>
      <c r="BB62" s="374"/>
      <c r="BC62" s="374"/>
      <c r="BD62" s="374"/>
      <c r="BE62" s="374"/>
      <c r="BF62" s="374"/>
      <c r="BG62" s="374"/>
      <c r="BH62" s="374"/>
      <c r="BI62" s="374"/>
      <c r="BJ62" s="374"/>
      <c r="BK62" s="374"/>
    </row>
    <row r="63" spans="1:63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>
      <c r="A64" s="11" t="s">
        <v>227</v>
      </c>
      <c r="C64" s="22">
        <f>IF(AND(C8&gt;=Inputs!$K$94,C8&lt;=Inputs!$K$95),1/(Inputs!$K$95-Inputs!$K$94+1),0)</f>
        <v>0</v>
      </c>
      <c r="D64" s="22">
        <f>IF(AND(D8&gt;=Inputs!$K$94,D8&lt;=Inputs!$K$95),1/(Inputs!$K$95-Inputs!$K$94+1),0)</f>
        <v>0</v>
      </c>
      <c r="E64" s="22">
        <f>IF(AND(E8&gt;=Inputs!$K$94,E8&lt;=Inputs!$K$95),1/(Inputs!$K$95-Inputs!$K$94+1),0)</f>
        <v>0</v>
      </c>
      <c r="F64" s="22">
        <f>IF(AND(F8&gt;=Inputs!$K$94,F8&lt;=Inputs!$K$95),1/(Inputs!$K$95-Inputs!$K$94+1),0)</f>
        <v>0</v>
      </c>
      <c r="G64" s="22">
        <f>IF(AND(G8&gt;=Inputs!$K$94,G8&lt;=Inputs!$K$95),1/(Inputs!$K$95-Inputs!$K$94+1),0)</f>
        <v>0</v>
      </c>
      <c r="H64" s="22">
        <f>IF(AND(H8&gt;=Inputs!$K$94,H8&lt;=Inputs!$K$95),1/(Inputs!$K$95-Inputs!$K$94+1),0)</f>
        <v>0</v>
      </c>
      <c r="I64" s="22">
        <f>IF(AND(I8&gt;=Inputs!$K$94,I8&lt;=Inputs!$K$95),1/(Inputs!$K$95-Inputs!$K$94+1),0)</f>
        <v>0</v>
      </c>
      <c r="J64" s="22">
        <f>IF(AND(J8&gt;=Inputs!$K$94,J8&lt;=Inputs!$K$95),1/(Inputs!$K$95-Inputs!$K$94+1),0)</f>
        <v>0</v>
      </c>
      <c r="K64" s="22">
        <f>IF(AND(K8&gt;=Inputs!$K$94,K8&lt;=Inputs!$K$95),1/(Inputs!$K$95-Inputs!$K$94+1),0)</f>
        <v>0</v>
      </c>
      <c r="L64" s="22">
        <f>IF(AND(L8&gt;=Inputs!$K$94,L8&lt;=Inputs!$K$95),1/(Inputs!$K$95-Inputs!$K$94+1),0)</f>
        <v>0</v>
      </c>
      <c r="M64" s="22">
        <f>IF(AND(M8&gt;=Inputs!$K$94,M8&lt;=Inputs!$K$95),1/(Inputs!$K$95-Inputs!$K$94+1),0)</f>
        <v>0</v>
      </c>
      <c r="N64" s="22">
        <f>IF(AND(N8&gt;=Inputs!$K$94,N8&lt;=Inputs!$K$95),1/(Inputs!$K$95-Inputs!$K$94+1),0)</f>
        <v>0</v>
      </c>
      <c r="O64" s="22">
        <f>IF(AND(O8&gt;=Inputs!$K$94,O8&lt;=Inputs!$K$95),1/(Inputs!$K$95-Inputs!$K$94+1),0)</f>
        <v>0</v>
      </c>
      <c r="P64" s="22">
        <f>IF(AND(P8&gt;=Inputs!$K$94,P8&lt;=Inputs!$K$95),1/(Inputs!$K$95-Inputs!$K$94+1),0)</f>
        <v>0</v>
      </c>
      <c r="Q64" s="22">
        <f>IF(AND(Q8&gt;=Inputs!$K$94,Q8&lt;=Inputs!$K$95),1/(Inputs!$K$95-Inputs!$K$94+1),0)</f>
        <v>0</v>
      </c>
      <c r="R64" s="22">
        <f>IF(AND(R8&gt;=Inputs!$K$94,R8&lt;=Inputs!$K$95),1/(Inputs!$K$95-Inputs!$K$94+1),0)</f>
        <v>0</v>
      </c>
      <c r="S64" s="22">
        <f>IF(AND(S8&gt;=Inputs!$K$94,S8&lt;=Inputs!$K$95),1/(Inputs!$K$95-Inputs!$K$94+1),0)</f>
        <v>0</v>
      </c>
      <c r="T64" s="22">
        <f>IF(AND(T8&gt;=Inputs!$K$94,T8&lt;=Inputs!$K$95),1/(Inputs!$K$95-Inputs!$K$94+1),0)</f>
        <v>0</v>
      </c>
      <c r="U64" s="22">
        <f>IF(AND(U8&gt;=Inputs!$K$94,U8&lt;=Inputs!$K$95),1/(Inputs!$K$95-Inputs!$K$94+1),0)</f>
        <v>0</v>
      </c>
      <c r="V64" s="22">
        <f>IF(AND(V8&gt;=Inputs!$K$94,V8&lt;=Inputs!$K$95),1/(Inputs!$K$95-Inputs!$K$94+1),0)</f>
        <v>8.3333333333333329E-2</v>
      </c>
      <c r="W64" s="22">
        <f>IF(AND(W8&gt;=Inputs!$K$94,W8&lt;=Inputs!$K$95),1/(Inputs!$K$95-Inputs!$K$94+1),0)</f>
        <v>8.3333333333333329E-2</v>
      </c>
      <c r="X64" s="22">
        <f>IF(AND(X8&gt;=Inputs!$K$94,X8&lt;=Inputs!$K$95),1/(Inputs!$K$95-Inputs!$K$94+1),0)</f>
        <v>8.3333333333333329E-2</v>
      </c>
      <c r="Y64" s="22">
        <f>IF(AND(Y8&gt;=Inputs!$K$94,Y8&lt;=Inputs!$K$95),1/(Inputs!$K$95-Inputs!$K$94+1),0)</f>
        <v>8.3333333333333329E-2</v>
      </c>
      <c r="Z64" s="22">
        <f>IF(AND(Z8&gt;=Inputs!$K$94,Z8&lt;=Inputs!$K$95),1/(Inputs!$K$95-Inputs!$K$94+1),0)</f>
        <v>8.3333333333333329E-2</v>
      </c>
      <c r="AA64" s="22">
        <f>IF(AND(AA8&gt;=Inputs!$K$94,AA8&lt;=Inputs!$K$95),1/(Inputs!$K$95-Inputs!$K$94+1),0)</f>
        <v>8.3333333333333329E-2</v>
      </c>
      <c r="AB64" s="22">
        <f>IF(AND(AB8&gt;=Inputs!$K$94,AB8&lt;=Inputs!$K$95),1/(Inputs!$K$95-Inputs!$K$94+1),0)</f>
        <v>8.3333333333333329E-2</v>
      </c>
      <c r="AC64" s="22">
        <f>IF(AND(AC8&gt;=Inputs!$K$94,AC8&lt;=Inputs!$K$95),1/(Inputs!$K$95-Inputs!$K$94+1),0)</f>
        <v>8.3333333333333329E-2</v>
      </c>
      <c r="AD64" s="22">
        <f>IF(AND(AD8&gt;=Inputs!$K$94,AD8&lt;=Inputs!$K$95),1/(Inputs!$K$95-Inputs!$K$94+1),0)</f>
        <v>8.3333333333333329E-2</v>
      </c>
      <c r="AE64" s="22">
        <f>IF(AND(AE8&gt;=Inputs!$K$94,AE8&lt;=Inputs!$K$95),1/(Inputs!$K$95-Inputs!$K$94+1),0)</f>
        <v>8.3333333333333329E-2</v>
      </c>
      <c r="AF64" s="22">
        <f>IF(AND(AF8&gt;=Inputs!$K$94,AF8&lt;=Inputs!$K$95),1/(Inputs!$K$95-Inputs!$K$94+1),0)</f>
        <v>8.3333333333333329E-2</v>
      </c>
      <c r="AG64" s="22">
        <f>IF(AND(AG8&gt;=Inputs!$K$94,AG8&lt;=Inputs!$K$95),1/(Inputs!$K$95-Inputs!$K$94+1),0)</f>
        <v>8.3333333333333329E-2</v>
      </c>
      <c r="AH64" s="22">
        <f>IF(AND(AH8&gt;=Inputs!$K$94,AH8&lt;=Inputs!$K$95),1/(Inputs!$K$95-Inputs!$K$94+1),0)</f>
        <v>0</v>
      </c>
      <c r="AI64" s="22">
        <f>IF(AND(AI8&gt;=Inputs!$K$94,AI8&lt;=Inputs!$K$95),1/(Inputs!$K$95-Inputs!$K$94+1),0)</f>
        <v>0</v>
      </c>
      <c r="AJ64" s="22">
        <f>IF(AND(AJ8&gt;=Inputs!$K$94,AJ8&lt;=Inputs!$K$95),1/(Inputs!$K$95-Inputs!$K$94+1),0)</f>
        <v>0</v>
      </c>
      <c r="AK64" s="22">
        <f>IF(AND(AK8&gt;=Inputs!$K$94,AK8&lt;=Inputs!$K$95),1/(Inputs!$K$95-Inputs!$K$94+1),0)</f>
        <v>0</v>
      </c>
      <c r="AL64" s="22">
        <f>IF(AND(AL8&gt;=Inputs!$K$94,AL8&lt;=Inputs!$K$95),1/(Inputs!$K$95-Inputs!$K$94+1),0)</f>
        <v>0</v>
      </c>
      <c r="AM64" s="22">
        <f>IF(AND(AM8&gt;=Inputs!$K$94,AM8&lt;=Inputs!$K$95),1/(Inputs!$K$95-Inputs!$K$94+1),0)</f>
        <v>0</v>
      </c>
      <c r="AN64" s="22">
        <f>IF(AND(AN8&gt;=Inputs!$K$94,AN8&lt;=Inputs!$K$95),1/(Inputs!$K$95-Inputs!$K$94+1),0)</f>
        <v>0</v>
      </c>
      <c r="AO64" s="22">
        <f>IF(AND(AO8&gt;=Inputs!$K$94,AO8&lt;=Inputs!$K$95),1/(Inputs!$K$95-Inputs!$K$94+1),0)</f>
        <v>0</v>
      </c>
      <c r="AP64" s="22">
        <f>IF(AND(AP8&gt;=Inputs!$K$94,AP8&lt;=Inputs!$K$95),1/(Inputs!$K$95-Inputs!$K$94+1),0)</f>
        <v>0</v>
      </c>
      <c r="AQ64" s="22">
        <f>IF(AND(AQ8&gt;=Inputs!$K$94,AQ8&lt;=Inputs!$K$95),1/(Inputs!$K$95-Inputs!$K$94+1),0)</f>
        <v>0</v>
      </c>
      <c r="AR64" s="22">
        <f>IF(AND(AR8&gt;=Inputs!$K$94,AR8&lt;=Inputs!$K$95),1/(Inputs!$K$95-Inputs!$K$94+1),0)</f>
        <v>0</v>
      </c>
      <c r="AS64" s="22">
        <f>IF(AND(AS8&gt;=Inputs!$K$94,AS8&lt;=Inputs!$K$95),1/(Inputs!$K$95-Inputs!$K$94+1),0)</f>
        <v>0</v>
      </c>
      <c r="AT64" s="22">
        <f>IF(AND(AT8&gt;=Inputs!$K$94,AT8&lt;=Inputs!$K$95),1/(Inputs!$K$95-Inputs!$K$94+1),0)</f>
        <v>0</v>
      </c>
      <c r="AU64" s="22">
        <f>IF(AND(AU8&gt;=Inputs!$K$94,AU8&lt;=Inputs!$K$95),1/(Inputs!$K$95-Inputs!$K$94+1),0)</f>
        <v>0</v>
      </c>
      <c r="AV64" s="22">
        <f>IF(AND(AV8&gt;=Inputs!$K$94,AV8&lt;=Inputs!$K$95),1/(Inputs!$K$95-Inputs!$K$94+1),0)</f>
        <v>0</v>
      </c>
      <c r="AW64" s="22">
        <f>IF(AND(AW8&gt;=Inputs!$K$94,AW8&lt;=Inputs!$K$95),1/(Inputs!$K$95-Inputs!$K$94+1),0)</f>
        <v>0</v>
      </c>
      <c r="AX64" s="22">
        <f>IF(AND(AX8&gt;=Inputs!$K$94,AX8&lt;=Inputs!$K$95),1/(Inputs!$K$95-Inputs!$K$94+1),0)</f>
        <v>0</v>
      </c>
      <c r="AY64" s="22">
        <f>IF(AND(AY8&gt;=Inputs!$K$94,AY8&lt;=Inputs!$K$95),1/(Inputs!$K$95-Inputs!$K$94+1),0)</f>
        <v>0</v>
      </c>
      <c r="AZ64" s="22">
        <f>IF(AND(AZ8&gt;=Inputs!$K$94,AZ8&lt;=Inputs!$K$95),1/(Inputs!$K$95-Inputs!$K$94+1),0)</f>
        <v>0</v>
      </c>
      <c r="BA64" s="22">
        <f>IF(AND(BA8&gt;=Inputs!$K$94,BA8&lt;=Inputs!$K$95),1/(Inputs!$K$95-Inputs!$K$94+1),0)</f>
        <v>0</v>
      </c>
      <c r="BB64" s="22">
        <f>IF(AND(BB8&gt;=Inputs!$K$94,BB8&lt;=Inputs!$K$95),1/(Inputs!$K$95-Inputs!$K$94+1),0)</f>
        <v>0</v>
      </c>
      <c r="BC64" s="22">
        <f>IF(AND(BC8&gt;=Inputs!$K$94,BC8&lt;=Inputs!$K$95),1/(Inputs!$K$95-Inputs!$K$94+1),0)</f>
        <v>0</v>
      </c>
      <c r="BD64" s="22">
        <f>IF(AND(BD8&gt;=Inputs!$K$94,BD8&lt;=Inputs!$K$95),1/(Inputs!$K$95-Inputs!$K$94+1),0)</f>
        <v>0</v>
      </c>
      <c r="BE64" s="22">
        <f>IF(AND(BE8&gt;=Inputs!$K$94,BE8&lt;=Inputs!$K$95),1/(Inputs!$K$95-Inputs!$K$94+1),0)</f>
        <v>0</v>
      </c>
      <c r="BF64" s="22">
        <f>IF(AND(BF8&gt;=Inputs!$K$94,BF8&lt;=Inputs!$K$95),1/(Inputs!$K$95-Inputs!$K$94+1),0)</f>
        <v>0</v>
      </c>
      <c r="BG64" s="22">
        <f>IF(AND(BG8&gt;=Inputs!$K$94,BG8&lt;=Inputs!$K$95),1/(Inputs!$K$95-Inputs!$K$94+1),0)</f>
        <v>0</v>
      </c>
      <c r="BH64" s="22">
        <f>IF(AND(BH8&gt;=Inputs!$K$94,BH8&lt;=Inputs!$K$95),1/(Inputs!$K$95-Inputs!$K$94+1),0)</f>
        <v>0</v>
      </c>
      <c r="BI64" s="22">
        <f>IF(AND(BI8&gt;=Inputs!$K$94,BI8&lt;=Inputs!$K$95),1/(Inputs!$K$95-Inputs!$K$94+1),0)</f>
        <v>0</v>
      </c>
      <c r="BJ64" s="22">
        <f>IF(AND(BJ8&gt;=Inputs!$K$94,BJ8&lt;=Inputs!$K$95),1/(Inputs!$K$95-Inputs!$K$94+1),0)</f>
        <v>0</v>
      </c>
      <c r="BK64" s="22">
        <f>IF(AND(BK8&gt;=Inputs!$K$94,BK8&lt;=Inputs!$K$95),1/(Inputs!$K$95-Inputs!$K$94+1),0)</f>
        <v>0</v>
      </c>
    </row>
    <row r="65" spans="1:63">
      <c r="A65" s="11" t="s">
        <v>228</v>
      </c>
      <c r="C65" s="22">
        <f>C64+B65</f>
        <v>0</v>
      </c>
      <c r="D65" s="22">
        <f t="shared" ref="D65:BK65" si="251">D64+C65</f>
        <v>0</v>
      </c>
      <c r="E65" s="22">
        <f t="shared" si="251"/>
        <v>0</v>
      </c>
      <c r="F65" s="22">
        <f t="shared" si="251"/>
        <v>0</v>
      </c>
      <c r="G65" s="22">
        <f t="shared" si="251"/>
        <v>0</v>
      </c>
      <c r="H65" s="22">
        <f t="shared" si="251"/>
        <v>0</v>
      </c>
      <c r="I65" s="22">
        <f t="shared" si="251"/>
        <v>0</v>
      </c>
      <c r="J65" s="22">
        <f t="shared" si="251"/>
        <v>0</v>
      </c>
      <c r="K65" s="22">
        <f t="shared" si="251"/>
        <v>0</v>
      </c>
      <c r="L65" s="22">
        <f t="shared" si="251"/>
        <v>0</v>
      </c>
      <c r="M65" s="22">
        <f t="shared" si="251"/>
        <v>0</v>
      </c>
      <c r="N65" s="22">
        <f t="shared" si="251"/>
        <v>0</v>
      </c>
      <c r="O65" s="22">
        <f t="shared" si="251"/>
        <v>0</v>
      </c>
      <c r="P65" s="22">
        <f t="shared" si="251"/>
        <v>0</v>
      </c>
      <c r="Q65" s="22">
        <f t="shared" si="251"/>
        <v>0</v>
      </c>
      <c r="R65" s="22">
        <f t="shared" si="251"/>
        <v>0</v>
      </c>
      <c r="S65" s="22">
        <f t="shared" si="251"/>
        <v>0</v>
      </c>
      <c r="T65" s="22">
        <f t="shared" si="251"/>
        <v>0</v>
      </c>
      <c r="U65" s="22">
        <f t="shared" si="251"/>
        <v>0</v>
      </c>
      <c r="V65" s="22">
        <f t="shared" si="251"/>
        <v>8.3333333333333329E-2</v>
      </c>
      <c r="W65" s="22">
        <f t="shared" si="251"/>
        <v>0.16666666666666666</v>
      </c>
      <c r="X65" s="22">
        <f t="shared" si="251"/>
        <v>0.25</v>
      </c>
      <c r="Y65" s="22">
        <f t="shared" si="251"/>
        <v>0.33333333333333331</v>
      </c>
      <c r="Z65" s="22">
        <f t="shared" si="251"/>
        <v>0.41666666666666663</v>
      </c>
      <c r="AA65" s="22">
        <f t="shared" si="251"/>
        <v>0.49999999999999994</v>
      </c>
      <c r="AB65" s="22">
        <f t="shared" si="251"/>
        <v>0.58333333333333326</v>
      </c>
      <c r="AC65" s="22">
        <f t="shared" si="251"/>
        <v>0.66666666666666663</v>
      </c>
      <c r="AD65" s="22">
        <f t="shared" si="251"/>
        <v>0.75</v>
      </c>
      <c r="AE65" s="22">
        <f t="shared" si="251"/>
        <v>0.83333333333333337</v>
      </c>
      <c r="AF65" s="22">
        <f t="shared" si="251"/>
        <v>0.91666666666666674</v>
      </c>
      <c r="AG65" s="22">
        <f t="shared" si="251"/>
        <v>1</v>
      </c>
      <c r="AH65" s="22">
        <f t="shared" si="251"/>
        <v>1</v>
      </c>
      <c r="AI65" s="22">
        <f t="shared" si="251"/>
        <v>1</v>
      </c>
      <c r="AJ65" s="22">
        <f t="shared" si="251"/>
        <v>1</v>
      </c>
      <c r="AK65" s="22">
        <f t="shared" si="251"/>
        <v>1</v>
      </c>
      <c r="AL65" s="22">
        <f t="shared" si="251"/>
        <v>1</v>
      </c>
      <c r="AM65" s="22">
        <f t="shared" si="251"/>
        <v>1</v>
      </c>
      <c r="AN65" s="22">
        <f t="shared" si="251"/>
        <v>1</v>
      </c>
      <c r="AO65" s="22">
        <f t="shared" si="251"/>
        <v>1</v>
      </c>
      <c r="AP65" s="22">
        <f t="shared" si="251"/>
        <v>1</v>
      </c>
      <c r="AQ65" s="22">
        <f t="shared" si="251"/>
        <v>1</v>
      </c>
      <c r="AR65" s="22">
        <f t="shared" si="251"/>
        <v>1</v>
      </c>
      <c r="AS65" s="22">
        <f t="shared" si="251"/>
        <v>1</v>
      </c>
      <c r="AT65" s="22">
        <f t="shared" si="251"/>
        <v>1</v>
      </c>
      <c r="AU65" s="22">
        <f t="shared" si="251"/>
        <v>1</v>
      </c>
      <c r="AV65" s="22">
        <f t="shared" si="251"/>
        <v>1</v>
      </c>
      <c r="AW65" s="22">
        <f t="shared" si="251"/>
        <v>1</v>
      </c>
      <c r="AX65" s="22">
        <f t="shared" si="251"/>
        <v>1</v>
      </c>
      <c r="AY65" s="22">
        <f t="shared" si="251"/>
        <v>1</v>
      </c>
      <c r="AZ65" s="22">
        <f t="shared" si="251"/>
        <v>1</v>
      </c>
      <c r="BA65" s="22">
        <f t="shared" si="251"/>
        <v>1</v>
      </c>
      <c r="BB65" s="22">
        <f t="shared" si="251"/>
        <v>1</v>
      </c>
      <c r="BC65" s="22">
        <f t="shared" si="251"/>
        <v>1</v>
      </c>
      <c r="BD65" s="22">
        <f t="shared" si="251"/>
        <v>1</v>
      </c>
      <c r="BE65" s="22">
        <f t="shared" si="251"/>
        <v>1</v>
      </c>
      <c r="BF65" s="22">
        <f t="shared" si="251"/>
        <v>1</v>
      </c>
      <c r="BG65" s="22">
        <f t="shared" si="251"/>
        <v>1</v>
      </c>
      <c r="BH65" s="22">
        <f t="shared" si="251"/>
        <v>1</v>
      </c>
      <c r="BI65" s="22">
        <f t="shared" si="251"/>
        <v>1</v>
      </c>
      <c r="BJ65" s="22">
        <f t="shared" si="251"/>
        <v>1</v>
      </c>
      <c r="BK65" s="22">
        <f t="shared" si="251"/>
        <v>1</v>
      </c>
    </row>
    <row r="66" spans="1:63">
      <c r="A66" s="11" t="s">
        <v>229</v>
      </c>
      <c r="B66" s="31">
        <f>Inputs!K96</f>
        <v>30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</row>
    <row r="67" spans="1:63">
      <c r="A67" s="11"/>
      <c r="B67" s="31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</row>
    <row r="68" spans="1:63">
      <c r="A68" s="11" t="s">
        <v>230</v>
      </c>
      <c r="C68" s="7">
        <f>IF(C$8&lt;=$B$66,C65*INDEX(Inputs!$V$11:$AE$11,MATCH('Cash Flow - Modular'!C10,Inputs!$V$6:$AE$6,0))/12,0)</f>
        <v>0</v>
      </c>
      <c r="D68" s="7">
        <f>IF(D$8&lt;=$B$66,D65*INDEX(Inputs!$V$11:$AE$11,MATCH('Cash Flow - Modular'!D10,Inputs!$V$6:$AE$6,0))/12,0)</f>
        <v>0</v>
      </c>
      <c r="E68" s="7">
        <f>IF(E$8&lt;=$B$66,E65*INDEX(Inputs!$V$11:$AE$11,MATCH('Cash Flow - Modular'!E10,Inputs!$V$6:$AE$6,0))/12,0)</f>
        <v>0</v>
      </c>
      <c r="F68" s="7">
        <f>IF(F$8&lt;=$B$66,F65*INDEX(Inputs!$V$11:$AE$11,MATCH('Cash Flow - Modular'!F10,Inputs!$V$6:$AE$6,0))/12,0)</f>
        <v>0</v>
      </c>
      <c r="G68" s="7">
        <f>IF(G$8&lt;=$B$66,G65*INDEX(Inputs!$V$11:$AE$11,MATCH('Cash Flow - Modular'!G10,Inputs!$V$6:$AE$6,0))/12,0)</f>
        <v>0</v>
      </c>
      <c r="H68" s="7">
        <f>IF(H$8&lt;=$B$66,H65*INDEX(Inputs!$V$11:$AE$11,MATCH('Cash Flow - Modular'!H10,Inputs!$V$6:$AE$6,0))/12,0)</f>
        <v>0</v>
      </c>
      <c r="I68" s="7">
        <f>IF(I$8&lt;=$B$66,I65*INDEX(Inputs!$V$11:$AE$11,MATCH('Cash Flow - Modular'!I10,Inputs!$V$6:$AE$6,0))/12,0)</f>
        <v>0</v>
      </c>
      <c r="J68" s="7">
        <f>IF(J$8&lt;=$B$66,J65*INDEX(Inputs!$V$11:$AE$11,MATCH('Cash Flow - Modular'!J10,Inputs!$V$6:$AE$6,0))/12,0)</f>
        <v>0</v>
      </c>
      <c r="K68" s="7">
        <f>IF(K$8&lt;=$B$66,K65*INDEX(Inputs!$V$11:$AE$11,MATCH('Cash Flow - Modular'!K10,Inputs!$V$6:$AE$6,0))/12,0)</f>
        <v>0</v>
      </c>
      <c r="L68" s="7">
        <f>IF(L$8&lt;=$B$66,L65*INDEX(Inputs!$V$11:$AE$11,MATCH('Cash Flow - Modular'!L10,Inputs!$V$6:$AE$6,0))/12,0)</f>
        <v>0</v>
      </c>
      <c r="M68" s="7">
        <f>IF(M$8&lt;=$B$66,M65*INDEX(Inputs!$V$11:$AE$11,MATCH('Cash Flow - Modular'!M10,Inputs!$V$6:$AE$6,0))/12,0)</f>
        <v>0</v>
      </c>
      <c r="N68" s="7">
        <f>IF(N$8&lt;=$B$66,N65*INDEX(Inputs!$V$11:$AE$11,MATCH('Cash Flow - Modular'!N10,Inputs!$V$6:$AE$6,0))/12,0)</f>
        <v>0</v>
      </c>
      <c r="O68" s="7">
        <f>IF(O$8&lt;=$B$66,O65*INDEX(Inputs!$V$11:$AE$11,MATCH('Cash Flow - Modular'!O10,Inputs!$V$6:$AE$6,0))/12,0)</f>
        <v>0</v>
      </c>
      <c r="P68" s="7">
        <f>IF(P$8&lt;=$B$66,P65*INDEX(Inputs!$V$11:$AE$11,MATCH('Cash Flow - Modular'!P10,Inputs!$V$6:$AE$6,0))/12,0)</f>
        <v>0</v>
      </c>
      <c r="Q68" s="7">
        <f>IF(Q$8&lt;=$B$66,Q65*INDEX(Inputs!$V$11:$AE$11,MATCH('Cash Flow - Modular'!Q10,Inputs!$V$6:$AE$6,0))/12,0)</f>
        <v>0</v>
      </c>
      <c r="R68" s="7">
        <f>IF(R$8&lt;=$B$66,R65*INDEX(Inputs!$V$11:$AE$11,MATCH('Cash Flow - Modular'!R10,Inputs!$V$6:$AE$6,0))/12,0)</f>
        <v>0</v>
      </c>
      <c r="S68" s="7">
        <f>IF(S$8&lt;=$B$66,S65*INDEX(Inputs!$V$11:$AE$11,MATCH('Cash Flow - Modular'!S10,Inputs!$V$6:$AE$6,0))/12,0)</f>
        <v>0</v>
      </c>
      <c r="T68" s="7">
        <f>IF(T$8&lt;=$B$66,T65*INDEX(Inputs!$V$11:$AE$11,MATCH('Cash Flow - Modular'!T10,Inputs!$V$6:$AE$6,0))/12,0)</f>
        <v>0</v>
      </c>
      <c r="U68" s="7">
        <f>IF(U$8&lt;=$B$66,U65*INDEX(Inputs!$V$11:$AE$11,MATCH('Cash Flow - Modular'!U10,Inputs!$V$6:$AE$6,0))/12,0)</f>
        <v>0</v>
      </c>
      <c r="V68" s="7">
        <f>IF(V$8&lt;=$B$66,V65*INDEX(Inputs!$V$11:$AE$11,MATCH('Cash Flow - Modular'!V10,Inputs!$V$6:$AE$6,0))/12,0)</f>
        <v>52430.196874999994</v>
      </c>
      <c r="W68" s="7">
        <f>IF(W$8&lt;=$B$66,W65*INDEX(Inputs!$V$11:$AE$11,MATCH('Cash Flow - Modular'!W10,Inputs!$V$6:$AE$6,0))/12,0)</f>
        <v>104860.39374999999</v>
      </c>
      <c r="X68" s="7">
        <f>IF(X$8&lt;=$B$66,X65*INDEX(Inputs!$V$11:$AE$11,MATCH('Cash Flow - Modular'!X10,Inputs!$V$6:$AE$6,0))/12,0)</f>
        <v>157290.59062499998</v>
      </c>
      <c r="Y68" s="7">
        <f>IF(Y$8&lt;=$B$66,Y65*INDEX(Inputs!$V$11:$AE$11,MATCH('Cash Flow - Modular'!Y10,Inputs!$V$6:$AE$6,0))/12,0)</f>
        <v>209720.78749999998</v>
      </c>
      <c r="Z68" s="7">
        <f>IF(Z$8&lt;=$B$66,Z65*INDEX(Inputs!$V$11:$AE$11,MATCH('Cash Flow - Modular'!Z10,Inputs!$V$6:$AE$6,0))/12,0)</f>
        <v>262150.98437499994</v>
      </c>
      <c r="AA68" s="7">
        <f>IF(AA$8&lt;=$B$66,AA65*INDEX(Inputs!$V$11:$AE$11,MATCH('Cash Flow - Modular'!AA10,Inputs!$V$6:$AE$6,0))/12,0)</f>
        <v>314581.18124999997</v>
      </c>
      <c r="AB68" s="7">
        <f>IF(AB$8&lt;=$B$66,AB65*INDEX(Inputs!$V$11:$AE$11,MATCH('Cash Flow - Modular'!AB10,Inputs!$V$6:$AE$6,0))/12,0)</f>
        <v>375783.8029531248</v>
      </c>
      <c r="AC68" s="7">
        <f>IF(AC$8&lt;=$B$66,AC65*INDEX(Inputs!$V$11:$AE$11,MATCH('Cash Flow - Modular'!AC10,Inputs!$V$6:$AE$6,0))/12,0)</f>
        <v>429467.20337499987</v>
      </c>
      <c r="AD68" s="7">
        <f>IF(AD$8&lt;=$B$66,AD65*INDEX(Inputs!$V$11:$AE$11,MATCH('Cash Flow - Modular'!AD10,Inputs!$V$6:$AE$6,0))/12,0)</f>
        <v>483150.60379687487</v>
      </c>
      <c r="AE68" s="7">
        <f>IF(AE$8&lt;=$B$66,AE65*INDEX(Inputs!$V$11:$AE$11,MATCH('Cash Flow - Modular'!AE10,Inputs!$V$6:$AE$6,0))/12,0)</f>
        <v>536834.00421874982</v>
      </c>
      <c r="AF68" s="7">
        <f>IF(AF$8&lt;=$B$66,AF65*INDEX(Inputs!$V$11:$AE$11,MATCH('Cash Flow - Modular'!AF10,Inputs!$V$6:$AE$6,0))/12,0)</f>
        <v>590517.40464062488</v>
      </c>
      <c r="AG68" s="7">
        <f>IF(AG$8&lt;=$B$66,AG65*INDEX(Inputs!$V$11:$AE$11,MATCH('Cash Flow - Modular'!AG10,Inputs!$V$6:$AE$6,0))/12,0)</f>
        <v>644200.80506249983</v>
      </c>
      <c r="AH68" s="7">
        <f>IF(AH$8&lt;=$B$66,AH65*INDEX(Inputs!$V$11:$AE$11,MATCH('Cash Flow - Modular'!AH10,Inputs!$V$6:$AE$6,0))/12,0)</f>
        <v>0</v>
      </c>
      <c r="AI68" s="7">
        <f>IF(AI$8&lt;=$B$66,AI65*INDEX(Inputs!$V$11:$AE$11,MATCH('Cash Flow - Modular'!AI10,Inputs!$V$6:$AE$6,0))/12,0)</f>
        <v>0</v>
      </c>
      <c r="AJ68" s="7">
        <f>IF(AJ$8&lt;=$B$66,AJ65*INDEX(Inputs!$V$11:$AE$11,MATCH('Cash Flow - Modular'!AJ10,Inputs!$V$6:$AE$6,0))/12,0)</f>
        <v>0</v>
      </c>
      <c r="AK68" s="7">
        <f>IF(AK$8&lt;=$B$66,AK65*INDEX(Inputs!$V$11:$AE$11,MATCH('Cash Flow - Modular'!AK10,Inputs!$V$6:$AE$6,0))/12,0)</f>
        <v>0</v>
      </c>
      <c r="AL68" s="7">
        <f>IF(AL$8&lt;=$B$66,AL65*INDEX(Inputs!$V$11:$AE$11,MATCH('Cash Flow - Modular'!AL10,Inputs!$V$6:$AE$6,0))/12,0)</f>
        <v>0</v>
      </c>
      <c r="AM68" s="7">
        <f>IF(AM$8&lt;=$B$66,AM65*INDEX(Inputs!$V$11:$AE$11,MATCH('Cash Flow - Modular'!AM10,Inputs!$V$6:$AE$6,0))/12,0)</f>
        <v>0</v>
      </c>
      <c r="AN68" s="7">
        <f>IF(AN$8&lt;=$B$66,AN65*INDEX(Inputs!$V$11:$AE$11,MATCH('Cash Flow - Modular'!AN10,Inputs!$V$6:$AE$6,0))/12,0)</f>
        <v>0</v>
      </c>
      <c r="AO68" s="7">
        <f>IF(AO$8&lt;=$B$66,AO65*INDEX(Inputs!$V$11:$AE$11,MATCH('Cash Flow - Modular'!AO10,Inputs!$V$6:$AE$6,0))/12,0)</f>
        <v>0</v>
      </c>
      <c r="AP68" s="7">
        <f>IF(AP$8&lt;=$B$66,AP65*INDEX(Inputs!$V$11:$AE$11,MATCH('Cash Flow - Modular'!AP10,Inputs!$V$6:$AE$6,0))/12,0)</f>
        <v>0</v>
      </c>
      <c r="AQ68" s="7">
        <f>IF(AQ$8&lt;=$B$66,AQ65*INDEX(Inputs!$V$11:$AE$11,MATCH('Cash Flow - Modular'!AQ10,Inputs!$V$6:$AE$6,0))/12,0)</f>
        <v>0</v>
      </c>
      <c r="AR68" s="7">
        <f>IF(AR$8&lt;=$B$66,AR65*INDEX(Inputs!$V$11:$AE$11,MATCH('Cash Flow - Modular'!AR10,Inputs!$V$6:$AE$6,0))/12,0)</f>
        <v>0</v>
      </c>
      <c r="AS68" s="7">
        <f>IF(AS$8&lt;=$B$66,AS65*INDEX(Inputs!$V$11:$AE$11,MATCH('Cash Flow - Modular'!AS10,Inputs!$V$6:$AE$6,0))/12,0)</f>
        <v>0</v>
      </c>
      <c r="AT68" s="7">
        <f>IF(AT$8&lt;=$B$66,AT65*INDEX(Inputs!$V$11:$AE$11,MATCH('Cash Flow - Modular'!AT10,Inputs!$V$6:$AE$6,0))/12,0)</f>
        <v>0</v>
      </c>
      <c r="AU68" s="7">
        <f>IF(AU$8&lt;=$B$66,AU65*INDEX(Inputs!$V$11:$AE$11,MATCH('Cash Flow - Modular'!AU10,Inputs!$V$6:$AE$6,0))/12,0)</f>
        <v>0</v>
      </c>
      <c r="AV68" s="7">
        <f>IF(AV$8&lt;=$B$66,AV65*INDEX(Inputs!$V$11:$AE$11,MATCH('Cash Flow - Modular'!AV10,Inputs!$V$6:$AE$6,0))/12,0)</f>
        <v>0</v>
      </c>
      <c r="AW68" s="7">
        <f>IF(AW$8&lt;=$B$66,AW65*INDEX(Inputs!$V$11:$AE$11,MATCH('Cash Flow - Modular'!AW10,Inputs!$V$6:$AE$6,0))/12,0)</f>
        <v>0</v>
      </c>
      <c r="AX68" s="7">
        <f>IF(AX$8&lt;=$B$66,AX65*INDEX(Inputs!$V$11:$AE$11,MATCH('Cash Flow - Modular'!AX10,Inputs!$V$6:$AE$6,0))/12,0)</f>
        <v>0</v>
      </c>
      <c r="AY68" s="7">
        <f>IF(AY$8&lt;=$B$66,AY65*INDEX(Inputs!$V$11:$AE$11,MATCH('Cash Flow - Modular'!AY10,Inputs!$V$6:$AE$6,0))/12,0)</f>
        <v>0</v>
      </c>
      <c r="AZ68" s="7">
        <f>IF(AZ$8&lt;=$B$66,AZ65*INDEX(Inputs!$V$11:$AE$11,MATCH('Cash Flow - Modular'!AZ10,Inputs!$V$6:$AE$6,0))/12,0)</f>
        <v>0</v>
      </c>
      <c r="BA68" s="7">
        <f>IF(BA$8&lt;=$B$66,BA65*INDEX(Inputs!$V$11:$AE$11,MATCH('Cash Flow - Modular'!BA10,Inputs!$V$6:$AE$6,0))/12,0)</f>
        <v>0</v>
      </c>
      <c r="BB68" s="7">
        <f>IF(BB$8&lt;=$B$66,BB65*INDEX(Inputs!$V$11:$AE$11,MATCH('Cash Flow - Modular'!BB10,Inputs!$V$6:$AE$6,0))/12,0)</f>
        <v>0</v>
      </c>
      <c r="BC68" s="7">
        <f>IF(BC$8&lt;=$B$66,BC65*INDEX(Inputs!$V$11:$AE$11,MATCH('Cash Flow - Modular'!BC10,Inputs!$V$6:$AE$6,0))/12,0)</f>
        <v>0</v>
      </c>
      <c r="BD68" s="7">
        <f>IF(BD$8&lt;=$B$66,BD65*INDEX(Inputs!$V$11:$AE$11,MATCH('Cash Flow - Modular'!BD10,Inputs!$V$6:$AE$6,0))/12,0)</f>
        <v>0</v>
      </c>
      <c r="BE68" s="7">
        <f>IF(BE$8&lt;=$B$66,BE65*INDEX(Inputs!$V$11:$AE$11,MATCH('Cash Flow - Modular'!BE10,Inputs!$V$6:$AE$6,0))/12,0)</f>
        <v>0</v>
      </c>
      <c r="BF68" s="7">
        <f>IF(BF$8&lt;=$B$66,BF65*INDEX(Inputs!$V$11:$AE$11,MATCH('Cash Flow - Modular'!BF10,Inputs!$V$6:$AE$6,0))/12,0)</f>
        <v>0</v>
      </c>
      <c r="BG68" s="7">
        <f>IF(BG$8&lt;=$B$66,BG65*INDEX(Inputs!$V$11:$AE$11,MATCH('Cash Flow - Modular'!BG10,Inputs!$V$6:$AE$6,0))/12,0)</f>
        <v>0</v>
      </c>
      <c r="BH68" s="7">
        <f>IF(BH$8&lt;=$B$66,BH65*INDEX(Inputs!$V$11:$AE$11,MATCH('Cash Flow - Modular'!BH10,Inputs!$V$6:$AE$6,0))/12,0)</f>
        <v>0</v>
      </c>
      <c r="BI68" s="7">
        <f>IF(BI$8&lt;=$B$66,BI65*INDEX(Inputs!$V$11:$AE$11,MATCH('Cash Flow - Modular'!BI10,Inputs!$V$6:$AE$6,0))/12,0)</f>
        <v>0</v>
      </c>
      <c r="BJ68" s="7">
        <f>IF(BJ$8&lt;=$B$66,BJ65*INDEX(Inputs!$V$11:$AE$11,MATCH('Cash Flow - Modular'!BJ10,Inputs!$V$6:$AE$6,0))/12,0)</f>
        <v>0</v>
      </c>
      <c r="BK68" s="7">
        <f>IF(BK$8&lt;=$B$66,BK65*INDEX(Inputs!$V$11:$AE$11,MATCH('Cash Flow - Modular'!BK10,Inputs!$V$6:$AE$6,0))/12,0)</f>
        <v>0</v>
      </c>
    </row>
    <row r="69" spans="1:63">
      <c r="A69" s="11" t="s">
        <v>231</v>
      </c>
      <c r="C69" s="7">
        <f>IF(C$8&lt;=$B$66,C65*INDEX(Inputs!$V$17:$AE$17,MATCH('Cash Flow - Modular'!C10,Inputs!$V$6:$AE$6,0))/12,0)</f>
        <v>0</v>
      </c>
      <c r="D69" s="7">
        <f>IF(D$8&lt;=$B$66,D65*INDEX(Inputs!$V$17:$AE$17,MATCH('Cash Flow - Modular'!D10,Inputs!$V$6:$AE$6,0))/12,0)</f>
        <v>0</v>
      </c>
      <c r="E69" s="7">
        <f>IF(E$8&lt;=$B$66,E65*INDEX(Inputs!$V$17:$AE$17,MATCH('Cash Flow - Modular'!E10,Inputs!$V$6:$AE$6,0))/12,0)</f>
        <v>0</v>
      </c>
      <c r="F69" s="7">
        <f>IF(F$8&lt;=$B$66,F65*INDEX(Inputs!$V$17:$AE$17,MATCH('Cash Flow - Modular'!F10,Inputs!$V$6:$AE$6,0))/12,0)</f>
        <v>0</v>
      </c>
      <c r="G69" s="7">
        <f>IF(G$8&lt;=$B$66,G65*INDEX(Inputs!$V$17:$AE$17,MATCH('Cash Flow - Modular'!G10,Inputs!$V$6:$AE$6,0))/12,0)</f>
        <v>0</v>
      </c>
      <c r="H69" s="7">
        <f>IF(H$8&lt;=$B$66,H65*INDEX(Inputs!$V$17:$AE$17,MATCH('Cash Flow - Modular'!H10,Inputs!$V$6:$AE$6,0))/12,0)</f>
        <v>0</v>
      </c>
      <c r="I69" s="7">
        <f>IF(I$8&lt;=$B$66,I65*INDEX(Inputs!$V$17:$AE$17,MATCH('Cash Flow - Modular'!I10,Inputs!$V$6:$AE$6,0))/12,0)</f>
        <v>0</v>
      </c>
      <c r="J69" s="7">
        <f>IF(J$8&lt;=$B$66,J65*INDEX(Inputs!$V$17:$AE$17,MATCH('Cash Flow - Modular'!J10,Inputs!$V$6:$AE$6,0))/12,0)</f>
        <v>0</v>
      </c>
      <c r="K69" s="7">
        <f>IF(K$8&lt;=$B$66,K65*INDEX(Inputs!$V$17:$AE$17,MATCH('Cash Flow - Modular'!K10,Inputs!$V$6:$AE$6,0))/12,0)</f>
        <v>0</v>
      </c>
      <c r="L69" s="7">
        <f>IF(L$8&lt;=$B$66,L65*INDEX(Inputs!$V$17:$AE$17,MATCH('Cash Flow - Modular'!L10,Inputs!$V$6:$AE$6,0))/12,0)</f>
        <v>0</v>
      </c>
      <c r="M69" s="7">
        <f>IF(M$8&lt;=$B$66,M65*INDEX(Inputs!$V$17:$AE$17,MATCH('Cash Flow - Modular'!M10,Inputs!$V$6:$AE$6,0))/12,0)</f>
        <v>0</v>
      </c>
      <c r="N69" s="7">
        <f>IF(N$8&lt;=$B$66,N65*INDEX(Inputs!$V$17:$AE$17,MATCH('Cash Flow - Modular'!N10,Inputs!$V$6:$AE$6,0))/12,0)</f>
        <v>0</v>
      </c>
      <c r="O69" s="7">
        <f>IF(O$8&lt;=$B$66,O65*INDEX(Inputs!$V$17:$AE$17,MATCH('Cash Flow - Modular'!O10,Inputs!$V$6:$AE$6,0))/12,0)</f>
        <v>0</v>
      </c>
      <c r="P69" s="7">
        <f>IF(P$8&lt;=$B$66,P65*INDEX(Inputs!$V$17:$AE$17,MATCH('Cash Flow - Modular'!P10,Inputs!$V$6:$AE$6,0))/12,0)</f>
        <v>0</v>
      </c>
      <c r="Q69" s="7">
        <f>IF(Q$8&lt;=$B$66,Q65*INDEX(Inputs!$V$17:$AE$17,MATCH('Cash Flow - Modular'!Q10,Inputs!$V$6:$AE$6,0))/12,0)</f>
        <v>0</v>
      </c>
      <c r="R69" s="7">
        <f>IF(R$8&lt;=$B$66,R65*INDEX(Inputs!$V$17:$AE$17,MATCH('Cash Flow - Modular'!R10,Inputs!$V$6:$AE$6,0))/12,0)</f>
        <v>0</v>
      </c>
      <c r="S69" s="7">
        <f>IF(S$8&lt;=$B$66,S65*INDEX(Inputs!$V$17:$AE$17,MATCH('Cash Flow - Modular'!S10,Inputs!$V$6:$AE$6,0))/12,0)</f>
        <v>0</v>
      </c>
      <c r="T69" s="7">
        <f>IF(T$8&lt;=$B$66,T65*INDEX(Inputs!$V$17:$AE$17,MATCH('Cash Flow - Modular'!T10,Inputs!$V$6:$AE$6,0))/12,0)</f>
        <v>0</v>
      </c>
      <c r="U69" s="7">
        <f>IF(U$8&lt;=$B$66,U65*INDEX(Inputs!$V$17:$AE$17,MATCH('Cash Flow - Modular'!U10,Inputs!$V$6:$AE$6,0))/12,0)</f>
        <v>0</v>
      </c>
      <c r="V69" s="7">
        <f>IF(V$8&lt;=$B$66,V65*INDEX(Inputs!$V$17:$AE$17,MATCH('Cash Flow - Modular'!V10,Inputs!$V$6:$AE$6,0))/12,0)</f>
        <v>-35900.252942708328</v>
      </c>
      <c r="W69" s="7">
        <f>IF(W$8&lt;=$B$66,W65*INDEX(Inputs!$V$17:$AE$17,MATCH('Cash Flow - Modular'!W10,Inputs!$V$6:$AE$6,0))/12,0)</f>
        <v>-71800.505885416656</v>
      </c>
      <c r="X69" s="7">
        <f>IF(X$8&lt;=$B$66,X65*INDEX(Inputs!$V$17:$AE$17,MATCH('Cash Flow - Modular'!X10,Inputs!$V$6:$AE$6,0))/12,0)</f>
        <v>-107700.75882812501</v>
      </c>
      <c r="Y69" s="7">
        <f>IF(Y$8&lt;=$B$66,Y65*INDEX(Inputs!$V$17:$AE$17,MATCH('Cash Flow - Modular'!Y10,Inputs!$V$6:$AE$6,0))/12,0)</f>
        <v>-143601.01177083331</v>
      </c>
      <c r="Z69" s="7">
        <f>IF(Z$8&lt;=$B$66,Z65*INDEX(Inputs!$V$17:$AE$17,MATCH('Cash Flow - Modular'!Z10,Inputs!$V$6:$AE$6,0))/12,0)</f>
        <v>-179501.26471354163</v>
      </c>
      <c r="AA69" s="7">
        <f>IF(AA$8&lt;=$B$66,AA65*INDEX(Inputs!$V$17:$AE$17,MATCH('Cash Flow - Modular'!AA10,Inputs!$V$6:$AE$6,0))/12,0)</f>
        <v>-215401.51765624995</v>
      </c>
      <c r="AB69" s="7">
        <f>IF(AB$8&lt;=$B$66,AB65*INDEX(Inputs!$V$17:$AE$17,MATCH('Cash Flow - Modular'!AB10,Inputs!$V$6:$AE$6,0))/12,0)</f>
        <v>-256363.61094257809</v>
      </c>
      <c r="AC69" s="7">
        <f>IF(AC$8&lt;=$B$66,AC65*INDEX(Inputs!$V$17:$AE$17,MATCH('Cash Flow - Modular'!AC10,Inputs!$V$6:$AE$6,0))/12,0)</f>
        <v>-292986.98393437499</v>
      </c>
      <c r="AD69" s="7">
        <f>IF(AD$8&lt;=$B$66,AD65*INDEX(Inputs!$V$17:$AE$17,MATCH('Cash Flow - Modular'!AD10,Inputs!$V$6:$AE$6,0))/12,0)</f>
        <v>-329610.35692617187</v>
      </c>
      <c r="AE69" s="7">
        <f>IF(AE$8&lt;=$B$66,AE65*INDEX(Inputs!$V$17:$AE$17,MATCH('Cash Flow - Modular'!AE10,Inputs!$V$6:$AE$6,0))/12,0)</f>
        <v>-366233.7299179688</v>
      </c>
      <c r="AF69" s="7">
        <f>IF(AF$8&lt;=$B$66,AF65*INDEX(Inputs!$V$17:$AE$17,MATCH('Cash Flow - Modular'!AF10,Inputs!$V$6:$AE$6,0))/12,0)</f>
        <v>-402857.10290976567</v>
      </c>
      <c r="AG69" s="7">
        <f>IF(AG$8&lt;=$B$66,AG65*INDEX(Inputs!$V$17:$AE$17,MATCH('Cash Flow - Modular'!AG10,Inputs!$V$6:$AE$6,0))/12,0)</f>
        <v>-439480.47590156249</v>
      </c>
      <c r="AH69" s="7">
        <f>IF(AH$8&lt;=$B$66,AH65*INDEX(Inputs!$V$17:$AE$17,MATCH('Cash Flow - Modular'!AH10,Inputs!$V$6:$AE$6,0))/12,0)</f>
        <v>0</v>
      </c>
      <c r="AI69" s="7">
        <f>IF(AI$8&lt;=$B$66,AI65*INDEX(Inputs!$V$17:$AE$17,MATCH('Cash Flow - Modular'!AI10,Inputs!$V$6:$AE$6,0))/12,0)</f>
        <v>0</v>
      </c>
      <c r="AJ69" s="7">
        <f>IF(AJ$8&lt;=$B$66,AJ65*INDEX(Inputs!$V$17:$AE$17,MATCH('Cash Flow - Modular'!AJ10,Inputs!$V$6:$AE$6,0))/12,0)</f>
        <v>0</v>
      </c>
      <c r="AK69" s="7">
        <f>IF(AK$8&lt;=$B$66,AK65*INDEX(Inputs!$V$17:$AE$17,MATCH('Cash Flow - Modular'!AK10,Inputs!$V$6:$AE$6,0))/12,0)</f>
        <v>0</v>
      </c>
      <c r="AL69" s="7">
        <f>IF(AL$8&lt;=$B$66,AL65*INDEX(Inputs!$V$17:$AE$17,MATCH('Cash Flow - Modular'!AL10,Inputs!$V$6:$AE$6,0))/12,0)</f>
        <v>0</v>
      </c>
      <c r="AM69" s="7">
        <f>IF(AM$8&lt;=$B$66,AM65*INDEX(Inputs!$V$17:$AE$17,MATCH('Cash Flow - Modular'!AM10,Inputs!$V$6:$AE$6,0))/12,0)</f>
        <v>0</v>
      </c>
      <c r="AN69" s="7">
        <f>IF(AN$8&lt;=$B$66,AN65*INDEX(Inputs!$V$17:$AE$17,MATCH('Cash Flow - Modular'!AN10,Inputs!$V$6:$AE$6,0))/12,0)</f>
        <v>0</v>
      </c>
      <c r="AO69" s="7">
        <f>IF(AO$8&lt;=$B$66,AO65*INDEX(Inputs!$V$17:$AE$17,MATCH('Cash Flow - Modular'!AO10,Inputs!$V$6:$AE$6,0))/12,0)</f>
        <v>0</v>
      </c>
      <c r="AP69" s="7">
        <f>IF(AP$8&lt;=$B$66,AP65*INDEX(Inputs!$V$17:$AE$17,MATCH('Cash Flow - Modular'!AP10,Inputs!$V$6:$AE$6,0))/12,0)</f>
        <v>0</v>
      </c>
      <c r="AQ69" s="7">
        <f>IF(AQ$8&lt;=$B$66,AQ65*INDEX(Inputs!$V$17:$AE$17,MATCH('Cash Flow - Modular'!AQ10,Inputs!$V$6:$AE$6,0))/12,0)</f>
        <v>0</v>
      </c>
      <c r="AR69" s="7">
        <f>IF(AR$8&lt;=$B$66,AR65*INDEX(Inputs!$V$17:$AE$17,MATCH('Cash Flow - Modular'!AR10,Inputs!$V$6:$AE$6,0))/12,0)</f>
        <v>0</v>
      </c>
      <c r="AS69" s="7">
        <f>IF(AS$8&lt;=$B$66,AS65*INDEX(Inputs!$V$17:$AE$17,MATCH('Cash Flow - Modular'!AS10,Inputs!$V$6:$AE$6,0))/12,0)</f>
        <v>0</v>
      </c>
      <c r="AT69" s="7">
        <f>IF(AT$8&lt;=$B$66,AT65*INDEX(Inputs!$V$17:$AE$17,MATCH('Cash Flow - Modular'!AT10,Inputs!$V$6:$AE$6,0))/12,0)</f>
        <v>0</v>
      </c>
      <c r="AU69" s="7">
        <f>IF(AU$8&lt;=$B$66,AU65*INDEX(Inputs!$V$17:$AE$17,MATCH('Cash Flow - Modular'!AU10,Inputs!$V$6:$AE$6,0))/12,0)</f>
        <v>0</v>
      </c>
      <c r="AV69" s="7">
        <f>IF(AV$8&lt;=$B$66,AV65*INDEX(Inputs!$V$17:$AE$17,MATCH('Cash Flow - Modular'!AV10,Inputs!$V$6:$AE$6,0))/12,0)</f>
        <v>0</v>
      </c>
      <c r="AW69" s="7">
        <f>IF(AW$8&lt;=$B$66,AW65*INDEX(Inputs!$V$17:$AE$17,MATCH('Cash Flow - Modular'!AW10,Inputs!$V$6:$AE$6,0))/12,0)</f>
        <v>0</v>
      </c>
      <c r="AX69" s="7">
        <f>IF(AX$8&lt;=$B$66,AX65*INDEX(Inputs!$V$17:$AE$17,MATCH('Cash Flow - Modular'!AX10,Inputs!$V$6:$AE$6,0))/12,0)</f>
        <v>0</v>
      </c>
      <c r="AY69" s="7">
        <f>IF(AY$8&lt;=$B$66,AY65*INDEX(Inputs!$V$17:$AE$17,MATCH('Cash Flow - Modular'!AY10,Inputs!$V$6:$AE$6,0))/12,0)</f>
        <v>0</v>
      </c>
      <c r="AZ69" s="7">
        <f>IF(AZ$8&lt;=$B$66,AZ65*INDEX(Inputs!$V$17:$AE$17,MATCH('Cash Flow - Modular'!AZ10,Inputs!$V$6:$AE$6,0))/12,0)</f>
        <v>0</v>
      </c>
      <c r="BA69" s="7">
        <f>IF(BA$8&lt;=$B$66,BA65*INDEX(Inputs!$V$17:$AE$17,MATCH('Cash Flow - Modular'!BA10,Inputs!$V$6:$AE$6,0))/12,0)</f>
        <v>0</v>
      </c>
      <c r="BB69" s="7">
        <f>IF(BB$8&lt;=$B$66,BB65*INDEX(Inputs!$V$17:$AE$17,MATCH('Cash Flow - Modular'!BB10,Inputs!$V$6:$AE$6,0))/12,0)</f>
        <v>0</v>
      </c>
      <c r="BC69" s="7">
        <f>IF(BC$8&lt;=$B$66,BC65*INDEX(Inputs!$V$17:$AE$17,MATCH('Cash Flow - Modular'!BC10,Inputs!$V$6:$AE$6,0))/12,0)</f>
        <v>0</v>
      </c>
      <c r="BD69" s="7">
        <f>IF(BD$8&lt;=$B$66,BD65*INDEX(Inputs!$V$17:$AE$17,MATCH('Cash Flow - Modular'!BD10,Inputs!$V$6:$AE$6,0))/12,0)</f>
        <v>0</v>
      </c>
      <c r="BE69" s="7">
        <f>IF(BE$8&lt;=$B$66,BE65*INDEX(Inputs!$V$17:$AE$17,MATCH('Cash Flow - Modular'!BE10,Inputs!$V$6:$AE$6,0))/12,0)</f>
        <v>0</v>
      </c>
      <c r="BF69" s="7">
        <f>IF(BF$8&lt;=$B$66,BF65*INDEX(Inputs!$V$17:$AE$17,MATCH('Cash Flow - Modular'!BF10,Inputs!$V$6:$AE$6,0))/12,0)</f>
        <v>0</v>
      </c>
      <c r="BG69" s="7">
        <f>IF(BG$8&lt;=$B$66,BG65*INDEX(Inputs!$V$17:$AE$17,MATCH('Cash Flow - Modular'!BG10,Inputs!$V$6:$AE$6,0))/12,0)</f>
        <v>0</v>
      </c>
      <c r="BH69" s="7">
        <f>IF(BH$8&lt;=$B$66,BH65*INDEX(Inputs!$V$17:$AE$17,MATCH('Cash Flow - Modular'!BH10,Inputs!$V$6:$AE$6,0))/12,0)</f>
        <v>0</v>
      </c>
      <c r="BI69" s="7">
        <f>IF(BI$8&lt;=$B$66,BI65*INDEX(Inputs!$V$17:$AE$17,MATCH('Cash Flow - Modular'!BI10,Inputs!$V$6:$AE$6,0))/12,0)</f>
        <v>0</v>
      </c>
      <c r="BJ69" s="7">
        <f>IF(BJ$8&lt;=$B$66,BJ65*INDEX(Inputs!$V$17:$AE$17,MATCH('Cash Flow - Modular'!BJ10,Inputs!$V$6:$AE$6,0))/12,0)</f>
        <v>0</v>
      </c>
      <c r="BK69" s="7">
        <f>IF(BK$8&lt;=$B$66,BK65*INDEX(Inputs!$V$17:$AE$17,MATCH('Cash Flow - Modular'!BK10,Inputs!$V$6:$AE$6,0))/12,0)</f>
        <v>0</v>
      </c>
    </row>
    <row r="70" spans="1:63">
      <c r="A70" s="11"/>
      <c r="B70" s="3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1:63" ht="16" thickBot="1">
      <c r="A71" s="32" t="s">
        <v>226</v>
      </c>
      <c r="B71" s="33"/>
      <c r="C71" s="34">
        <f>SUM(C68:C69)</f>
        <v>0</v>
      </c>
      <c r="D71" s="34">
        <f t="shared" ref="D71:BK71" si="252">SUM(D68:D69)</f>
        <v>0</v>
      </c>
      <c r="E71" s="34">
        <f t="shared" si="252"/>
        <v>0</v>
      </c>
      <c r="F71" s="34">
        <f t="shared" si="252"/>
        <v>0</v>
      </c>
      <c r="G71" s="34">
        <f t="shared" si="252"/>
        <v>0</v>
      </c>
      <c r="H71" s="34">
        <f t="shared" si="252"/>
        <v>0</v>
      </c>
      <c r="I71" s="34">
        <f t="shared" si="252"/>
        <v>0</v>
      </c>
      <c r="J71" s="34">
        <f t="shared" si="252"/>
        <v>0</v>
      </c>
      <c r="K71" s="34">
        <f t="shared" si="252"/>
        <v>0</v>
      </c>
      <c r="L71" s="34">
        <f t="shared" si="252"/>
        <v>0</v>
      </c>
      <c r="M71" s="34">
        <f t="shared" si="252"/>
        <v>0</v>
      </c>
      <c r="N71" s="34">
        <f t="shared" si="252"/>
        <v>0</v>
      </c>
      <c r="O71" s="34">
        <f t="shared" si="252"/>
        <v>0</v>
      </c>
      <c r="P71" s="34">
        <f t="shared" si="252"/>
        <v>0</v>
      </c>
      <c r="Q71" s="34">
        <f t="shared" si="252"/>
        <v>0</v>
      </c>
      <c r="R71" s="34">
        <f t="shared" si="252"/>
        <v>0</v>
      </c>
      <c r="S71" s="34">
        <f t="shared" si="252"/>
        <v>0</v>
      </c>
      <c r="T71" s="34">
        <f t="shared" si="252"/>
        <v>0</v>
      </c>
      <c r="U71" s="34">
        <f t="shared" si="252"/>
        <v>0</v>
      </c>
      <c r="V71" s="34">
        <f t="shared" si="252"/>
        <v>16529.943932291666</v>
      </c>
      <c r="W71" s="34">
        <f t="shared" si="252"/>
        <v>33059.887864583332</v>
      </c>
      <c r="X71" s="34">
        <f t="shared" si="252"/>
        <v>49589.831796874976</v>
      </c>
      <c r="Y71" s="34">
        <f t="shared" si="252"/>
        <v>66119.775729166664</v>
      </c>
      <c r="Z71" s="34">
        <f t="shared" si="252"/>
        <v>82649.719661458308</v>
      </c>
      <c r="AA71" s="34">
        <f t="shared" si="252"/>
        <v>99179.66359375001</v>
      </c>
      <c r="AB71" s="34">
        <f t="shared" si="252"/>
        <v>119420.19201054671</v>
      </c>
      <c r="AC71" s="34">
        <f t="shared" si="252"/>
        <v>136480.21944062487</v>
      </c>
      <c r="AD71" s="34">
        <f t="shared" si="252"/>
        <v>153540.24687070301</v>
      </c>
      <c r="AE71" s="34">
        <f t="shared" si="252"/>
        <v>170600.27430078102</v>
      </c>
      <c r="AF71" s="34">
        <f t="shared" si="252"/>
        <v>187660.30173085921</v>
      </c>
      <c r="AG71" s="34">
        <f t="shared" si="252"/>
        <v>204720.32916093734</v>
      </c>
      <c r="AH71" s="34">
        <f t="shared" si="252"/>
        <v>0</v>
      </c>
      <c r="AI71" s="34">
        <f t="shared" si="252"/>
        <v>0</v>
      </c>
      <c r="AJ71" s="34">
        <f t="shared" si="252"/>
        <v>0</v>
      </c>
      <c r="AK71" s="34">
        <f t="shared" si="252"/>
        <v>0</v>
      </c>
      <c r="AL71" s="34">
        <f t="shared" si="252"/>
        <v>0</v>
      </c>
      <c r="AM71" s="34">
        <f t="shared" si="252"/>
        <v>0</v>
      </c>
      <c r="AN71" s="34">
        <f t="shared" si="252"/>
        <v>0</v>
      </c>
      <c r="AO71" s="34">
        <f t="shared" si="252"/>
        <v>0</v>
      </c>
      <c r="AP71" s="34">
        <f t="shared" si="252"/>
        <v>0</v>
      </c>
      <c r="AQ71" s="34">
        <f t="shared" si="252"/>
        <v>0</v>
      </c>
      <c r="AR71" s="34">
        <f t="shared" si="252"/>
        <v>0</v>
      </c>
      <c r="AS71" s="34">
        <f t="shared" si="252"/>
        <v>0</v>
      </c>
      <c r="AT71" s="34">
        <f t="shared" si="252"/>
        <v>0</v>
      </c>
      <c r="AU71" s="34">
        <f t="shared" si="252"/>
        <v>0</v>
      </c>
      <c r="AV71" s="34">
        <f t="shared" si="252"/>
        <v>0</v>
      </c>
      <c r="AW71" s="34">
        <f t="shared" si="252"/>
        <v>0</v>
      </c>
      <c r="AX71" s="34">
        <f t="shared" si="252"/>
        <v>0</v>
      </c>
      <c r="AY71" s="34">
        <f t="shared" si="252"/>
        <v>0</v>
      </c>
      <c r="AZ71" s="34">
        <f t="shared" si="252"/>
        <v>0</v>
      </c>
      <c r="BA71" s="34">
        <f t="shared" si="252"/>
        <v>0</v>
      </c>
      <c r="BB71" s="34">
        <f t="shared" si="252"/>
        <v>0</v>
      </c>
      <c r="BC71" s="34">
        <f t="shared" si="252"/>
        <v>0</v>
      </c>
      <c r="BD71" s="34">
        <f t="shared" si="252"/>
        <v>0</v>
      </c>
      <c r="BE71" s="34">
        <f t="shared" si="252"/>
        <v>0</v>
      </c>
      <c r="BF71" s="34">
        <f t="shared" si="252"/>
        <v>0</v>
      </c>
      <c r="BG71" s="34">
        <f t="shared" si="252"/>
        <v>0</v>
      </c>
      <c r="BH71" s="34">
        <f t="shared" si="252"/>
        <v>0</v>
      </c>
      <c r="BI71" s="34">
        <f t="shared" si="252"/>
        <v>0</v>
      </c>
      <c r="BJ71" s="34">
        <f t="shared" si="252"/>
        <v>0</v>
      </c>
      <c r="BK71" s="34">
        <f t="shared" si="252"/>
        <v>0</v>
      </c>
    </row>
    <row r="72" spans="1:63">
      <c r="A72" t="s">
        <v>232</v>
      </c>
      <c r="B72" s="35"/>
      <c r="C72" s="21">
        <f t="shared" ref="C72:AH72" si="253">IF(C65&gt;0,C71+C49,0)</f>
        <v>0</v>
      </c>
      <c r="D72" s="21">
        <f t="shared" si="253"/>
        <v>0</v>
      </c>
      <c r="E72" s="21">
        <f t="shared" si="253"/>
        <v>0</v>
      </c>
      <c r="F72" s="21">
        <f t="shared" si="253"/>
        <v>0</v>
      </c>
      <c r="G72" s="21">
        <f t="shared" si="253"/>
        <v>0</v>
      </c>
      <c r="H72" s="21">
        <f t="shared" si="253"/>
        <v>0</v>
      </c>
      <c r="I72" s="21">
        <f t="shared" si="253"/>
        <v>0</v>
      </c>
      <c r="J72" s="21">
        <f t="shared" si="253"/>
        <v>0</v>
      </c>
      <c r="K72" s="21">
        <f t="shared" si="253"/>
        <v>0</v>
      </c>
      <c r="L72" s="21">
        <f t="shared" si="253"/>
        <v>0</v>
      </c>
      <c r="M72" s="21">
        <f t="shared" si="253"/>
        <v>0</v>
      </c>
      <c r="N72" s="21">
        <f t="shared" si="253"/>
        <v>0</v>
      </c>
      <c r="O72" s="21">
        <f t="shared" si="253"/>
        <v>0</v>
      </c>
      <c r="P72" s="21">
        <f t="shared" si="253"/>
        <v>0</v>
      </c>
      <c r="Q72" s="21">
        <f t="shared" si="253"/>
        <v>0</v>
      </c>
      <c r="R72" s="21">
        <f t="shared" si="253"/>
        <v>0</v>
      </c>
      <c r="S72" s="21">
        <f t="shared" si="253"/>
        <v>0</v>
      </c>
      <c r="T72" s="21">
        <f t="shared" si="253"/>
        <v>0</v>
      </c>
      <c r="U72" s="21">
        <f t="shared" si="253"/>
        <v>0</v>
      </c>
      <c r="V72" s="21">
        <f t="shared" ca="1" si="253"/>
        <v>-119914.20605698627</v>
      </c>
      <c r="W72" s="21">
        <f t="shared" ca="1" si="253"/>
        <v>-104078.1161370919</v>
      </c>
      <c r="X72" s="21">
        <f t="shared" ca="1" si="253"/>
        <v>-88135.743735662647</v>
      </c>
      <c r="Y72" s="21">
        <f t="shared" ca="1" si="253"/>
        <v>-72086.375547441421</v>
      </c>
      <c r="Z72" s="21">
        <f t="shared" ca="1" si="253"/>
        <v>-55929.29347988771</v>
      </c>
      <c r="AA72" s="21">
        <f t="shared" ca="1" si="253"/>
        <v>-39663.774621047836</v>
      </c>
      <c r="AB72" s="21">
        <f t="shared" ca="1" si="253"/>
        <v>-19553.60347113153</v>
      </c>
      <c r="AC72" s="21">
        <f t="shared" ca="1" si="253"/>
        <v>-2510.2799423360266</v>
      </c>
      <c r="AD72" s="21">
        <f t="shared" ca="1" si="253"/>
        <v>14549.747487742105</v>
      </c>
      <c r="AE72" s="21">
        <f t="shared" ca="1" si="253"/>
        <v>31609.774917820119</v>
      </c>
      <c r="AF72" s="21">
        <f t="shared" ca="1" si="253"/>
        <v>48669.802347898309</v>
      </c>
      <c r="AG72" s="21">
        <f t="shared" si="253"/>
        <v>204720.32916093734</v>
      </c>
      <c r="AH72" s="21">
        <f t="shared" si="253"/>
        <v>0</v>
      </c>
      <c r="AI72" s="21">
        <f t="shared" ref="AI72:BK72" si="254">IF(AI65&gt;0,AI71+AI49,0)</f>
        <v>0</v>
      </c>
      <c r="AJ72" s="21">
        <f t="shared" si="254"/>
        <v>0</v>
      </c>
      <c r="AK72" s="21">
        <f t="shared" si="254"/>
        <v>0</v>
      </c>
      <c r="AL72" s="21">
        <f t="shared" si="254"/>
        <v>0</v>
      </c>
      <c r="AM72" s="21">
        <f t="shared" si="254"/>
        <v>0</v>
      </c>
      <c r="AN72" s="21">
        <f t="shared" si="254"/>
        <v>0</v>
      </c>
      <c r="AO72" s="21">
        <f t="shared" si="254"/>
        <v>0</v>
      </c>
      <c r="AP72" s="21">
        <f t="shared" si="254"/>
        <v>0</v>
      </c>
      <c r="AQ72" s="21">
        <f t="shared" si="254"/>
        <v>0</v>
      </c>
      <c r="AR72" s="21">
        <f t="shared" si="254"/>
        <v>0</v>
      </c>
      <c r="AS72" s="21">
        <f t="shared" si="254"/>
        <v>0</v>
      </c>
      <c r="AT72" s="21">
        <f t="shared" si="254"/>
        <v>0</v>
      </c>
      <c r="AU72" s="21">
        <f t="shared" si="254"/>
        <v>0</v>
      </c>
      <c r="AV72" s="21">
        <f t="shared" si="254"/>
        <v>0</v>
      </c>
      <c r="AW72" s="21">
        <f t="shared" si="254"/>
        <v>0</v>
      </c>
      <c r="AX72" s="21">
        <f t="shared" si="254"/>
        <v>0</v>
      </c>
      <c r="AY72" s="21">
        <f t="shared" si="254"/>
        <v>0</v>
      </c>
      <c r="AZ72" s="21">
        <f t="shared" si="254"/>
        <v>0</v>
      </c>
      <c r="BA72" s="21">
        <f t="shared" si="254"/>
        <v>0</v>
      </c>
      <c r="BB72" s="21">
        <f t="shared" si="254"/>
        <v>0</v>
      </c>
      <c r="BC72" s="21">
        <f t="shared" si="254"/>
        <v>0</v>
      </c>
      <c r="BD72" s="21">
        <f t="shared" si="254"/>
        <v>0</v>
      </c>
      <c r="BE72" s="21">
        <f t="shared" si="254"/>
        <v>0</v>
      </c>
      <c r="BF72" s="21">
        <f t="shared" si="254"/>
        <v>0</v>
      </c>
      <c r="BG72" s="21">
        <f t="shared" si="254"/>
        <v>0</v>
      </c>
      <c r="BH72" s="21">
        <f t="shared" si="254"/>
        <v>0</v>
      </c>
      <c r="BI72" s="21">
        <f t="shared" si="254"/>
        <v>0</v>
      </c>
      <c r="BJ72" s="21">
        <f t="shared" si="254"/>
        <v>0</v>
      </c>
      <c r="BK72" s="21">
        <f t="shared" si="254"/>
        <v>0</v>
      </c>
    </row>
    <row r="73" spans="1:63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>
      <c r="A74" s="374" t="s">
        <v>184</v>
      </c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4"/>
      <c r="Z74" s="374"/>
      <c r="AA74" s="374"/>
      <c r="AB74" s="374"/>
      <c r="AC74" s="374"/>
      <c r="AD74" s="374"/>
      <c r="AE74" s="374"/>
      <c r="AF74" s="374"/>
      <c r="AG74" s="374"/>
      <c r="AH74" s="374"/>
      <c r="AI74" s="374"/>
      <c r="AJ74" s="374"/>
      <c r="AK74" s="374"/>
      <c r="AL74" s="374"/>
      <c r="AM74" s="374"/>
      <c r="AN74" s="374"/>
      <c r="AO74" s="374"/>
      <c r="AP74" s="374"/>
      <c r="AQ74" s="374"/>
      <c r="AR74" s="374"/>
      <c r="AS74" s="374"/>
      <c r="AT74" s="374"/>
      <c r="AU74" s="374"/>
      <c r="AV74" s="374"/>
      <c r="AW74" s="374"/>
      <c r="AX74" s="374"/>
      <c r="AY74" s="374"/>
      <c r="AZ74" s="374"/>
      <c r="BA74" s="374"/>
      <c r="BB74" s="374"/>
      <c r="BC74" s="374"/>
      <c r="BD74" s="374"/>
      <c r="BE74" s="374"/>
      <c r="BF74" s="374"/>
      <c r="BG74" s="374"/>
      <c r="BH74" s="374"/>
      <c r="BI74" s="374"/>
      <c r="BJ74" s="374"/>
      <c r="BK74" s="374"/>
    </row>
    <row r="75" spans="1:63">
      <c r="A75" t="s">
        <v>216</v>
      </c>
      <c r="B75" s="16">
        <f>Inputs!K96</f>
        <v>30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</row>
    <row r="76" spans="1:63">
      <c r="A76" t="s">
        <v>233</v>
      </c>
      <c r="B76" s="36">
        <f>Inputs!E20</f>
        <v>0.06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</row>
    <row r="77" spans="1:63">
      <c r="A77" t="s">
        <v>234</v>
      </c>
      <c r="B77" s="16">
        <f>INDEX(Inputs!V19:AE19,MATCH((INDEX(C10:BK10,MATCH(B75,C8:BK8))+1),Inputs!V6:AE6,0))</f>
        <v>2535220.7587150279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</row>
    <row r="78" spans="1:63">
      <c r="A78" t="s">
        <v>235</v>
      </c>
      <c r="B78" s="16">
        <f>B77/B76</f>
        <v>42253679.311917134</v>
      </c>
      <c r="C78" s="17">
        <f t="shared" ref="C78:AH78" si="255">IF(C8=$B$75,$B$78,0)</f>
        <v>0</v>
      </c>
      <c r="D78" s="17">
        <f t="shared" si="255"/>
        <v>0</v>
      </c>
      <c r="E78" s="17">
        <f t="shared" si="255"/>
        <v>0</v>
      </c>
      <c r="F78" s="17">
        <f t="shared" si="255"/>
        <v>0</v>
      </c>
      <c r="G78" s="17">
        <f t="shared" si="255"/>
        <v>0</v>
      </c>
      <c r="H78" s="17">
        <f t="shared" si="255"/>
        <v>0</v>
      </c>
      <c r="I78" s="17">
        <f t="shared" si="255"/>
        <v>0</v>
      </c>
      <c r="J78" s="17">
        <f t="shared" si="255"/>
        <v>0</v>
      </c>
      <c r="K78" s="17">
        <f t="shared" si="255"/>
        <v>0</v>
      </c>
      <c r="L78" s="17">
        <f t="shared" si="255"/>
        <v>0</v>
      </c>
      <c r="M78" s="17">
        <f t="shared" si="255"/>
        <v>0</v>
      </c>
      <c r="N78" s="17">
        <f t="shared" si="255"/>
        <v>0</v>
      </c>
      <c r="O78" s="17">
        <f t="shared" si="255"/>
        <v>0</v>
      </c>
      <c r="P78" s="17">
        <f t="shared" si="255"/>
        <v>0</v>
      </c>
      <c r="Q78" s="17">
        <f t="shared" si="255"/>
        <v>0</v>
      </c>
      <c r="R78" s="17">
        <f t="shared" si="255"/>
        <v>0</v>
      </c>
      <c r="S78" s="17">
        <f t="shared" si="255"/>
        <v>0</v>
      </c>
      <c r="T78" s="17">
        <f t="shared" si="255"/>
        <v>0</v>
      </c>
      <c r="U78" s="17">
        <f t="shared" si="255"/>
        <v>0</v>
      </c>
      <c r="V78" s="17">
        <f t="shared" si="255"/>
        <v>0</v>
      </c>
      <c r="W78" s="17">
        <f t="shared" si="255"/>
        <v>0</v>
      </c>
      <c r="X78" s="17">
        <f t="shared" si="255"/>
        <v>0</v>
      </c>
      <c r="Y78" s="17">
        <f t="shared" si="255"/>
        <v>0</v>
      </c>
      <c r="Z78" s="17">
        <f t="shared" si="255"/>
        <v>0</v>
      </c>
      <c r="AA78" s="17">
        <f t="shared" si="255"/>
        <v>0</v>
      </c>
      <c r="AB78" s="17">
        <f t="shared" si="255"/>
        <v>0</v>
      </c>
      <c r="AC78" s="17">
        <f t="shared" si="255"/>
        <v>0</v>
      </c>
      <c r="AD78" s="17">
        <f t="shared" si="255"/>
        <v>0</v>
      </c>
      <c r="AE78" s="17">
        <f t="shared" si="255"/>
        <v>0</v>
      </c>
      <c r="AF78" s="17">
        <f t="shared" si="255"/>
        <v>0</v>
      </c>
      <c r="AG78" s="17">
        <f t="shared" si="255"/>
        <v>42253679.311917134</v>
      </c>
      <c r="AH78" s="17">
        <f t="shared" si="255"/>
        <v>0</v>
      </c>
      <c r="AI78" s="17">
        <f t="shared" ref="AI78:BK78" si="256">IF(AI8=$B$75,$B$78,0)</f>
        <v>0</v>
      </c>
      <c r="AJ78" s="17">
        <f t="shared" si="256"/>
        <v>0</v>
      </c>
      <c r="AK78" s="17">
        <f t="shared" si="256"/>
        <v>0</v>
      </c>
      <c r="AL78" s="17">
        <f t="shared" si="256"/>
        <v>0</v>
      </c>
      <c r="AM78" s="17">
        <f t="shared" si="256"/>
        <v>0</v>
      </c>
      <c r="AN78" s="17">
        <f t="shared" si="256"/>
        <v>0</v>
      </c>
      <c r="AO78" s="17">
        <f t="shared" si="256"/>
        <v>0</v>
      </c>
      <c r="AP78" s="17">
        <f t="shared" si="256"/>
        <v>0</v>
      </c>
      <c r="AQ78" s="17">
        <f t="shared" si="256"/>
        <v>0</v>
      </c>
      <c r="AR78" s="17">
        <f t="shared" si="256"/>
        <v>0</v>
      </c>
      <c r="AS78" s="17">
        <f t="shared" si="256"/>
        <v>0</v>
      </c>
      <c r="AT78" s="17">
        <f t="shared" si="256"/>
        <v>0</v>
      </c>
      <c r="AU78" s="17">
        <f t="shared" si="256"/>
        <v>0</v>
      </c>
      <c r="AV78" s="17">
        <f t="shared" si="256"/>
        <v>0</v>
      </c>
      <c r="AW78" s="17">
        <f t="shared" si="256"/>
        <v>0</v>
      </c>
      <c r="AX78" s="17">
        <f t="shared" si="256"/>
        <v>0</v>
      </c>
      <c r="AY78" s="17">
        <f t="shared" si="256"/>
        <v>0</v>
      </c>
      <c r="AZ78" s="17">
        <f t="shared" si="256"/>
        <v>0</v>
      </c>
      <c r="BA78" s="17">
        <f t="shared" si="256"/>
        <v>0</v>
      </c>
      <c r="BB78" s="17">
        <f t="shared" si="256"/>
        <v>0</v>
      </c>
      <c r="BC78" s="17">
        <f t="shared" si="256"/>
        <v>0</v>
      </c>
      <c r="BD78" s="17">
        <f t="shared" si="256"/>
        <v>0</v>
      </c>
      <c r="BE78" s="17">
        <f t="shared" si="256"/>
        <v>0</v>
      </c>
      <c r="BF78" s="17">
        <f t="shared" si="256"/>
        <v>0</v>
      </c>
      <c r="BG78" s="17">
        <f t="shared" si="256"/>
        <v>0</v>
      </c>
      <c r="BH78" s="17">
        <f t="shared" si="256"/>
        <v>0</v>
      </c>
      <c r="BI78" s="17">
        <f t="shared" si="256"/>
        <v>0</v>
      </c>
      <c r="BJ78" s="17">
        <f t="shared" si="256"/>
        <v>0</v>
      </c>
      <c r="BK78" s="17">
        <f t="shared" si="256"/>
        <v>0</v>
      </c>
    </row>
    <row r="79" spans="1:63">
      <c r="A79" t="s">
        <v>236</v>
      </c>
      <c r="B79" s="20">
        <f>Inputs!E21</f>
        <v>0.03</v>
      </c>
      <c r="C79" s="17">
        <f>-$B$79*C78</f>
        <v>0</v>
      </c>
      <c r="D79" s="17">
        <f t="shared" ref="D79:BK79" si="257">-$B$79*D78</f>
        <v>0</v>
      </c>
      <c r="E79" s="17">
        <f t="shared" si="257"/>
        <v>0</v>
      </c>
      <c r="F79" s="17">
        <f t="shared" si="257"/>
        <v>0</v>
      </c>
      <c r="G79" s="17">
        <f t="shared" si="257"/>
        <v>0</v>
      </c>
      <c r="H79" s="17">
        <f t="shared" si="257"/>
        <v>0</v>
      </c>
      <c r="I79" s="17">
        <f t="shared" si="257"/>
        <v>0</v>
      </c>
      <c r="J79" s="17">
        <f t="shared" si="257"/>
        <v>0</v>
      </c>
      <c r="K79" s="17">
        <f t="shared" si="257"/>
        <v>0</v>
      </c>
      <c r="L79" s="17">
        <f t="shared" si="257"/>
        <v>0</v>
      </c>
      <c r="M79" s="17">
        <f t="shared" si="257"/>
        <v>0</v>
      </c>
      <c r="N79" s="17">
        <f t="shared" si="257"/>
        <v>0</v>
      </c>
      <c r="O79" s="17">
        <f t="shared" si="257"/>
        <v>0</v>
      </c>
      <c r="P79" s="17">
        <f t="shared" si="257"/>
        <v>0</v>
      </c>
      <c r="Q79" s="17">
        <f t="shared" si="257"/>
        <v>0</v>
      </c>
      <c r="R79" s="17">
        <f t="shared" si="257"/>
        <v>0</v>
      </c>
      <c r="S79" s="17">
        <f t="shared" si="257"/>
        <v>0</v>
      </c>
      <c r="T79" s="17">
        <f t="shared" si="257"/>
        <v>0</v>
      </c>
      <c r="U79" s="17">
        <f t="shared" si="257"/>
        <v>0</v>
      </c>
      <c r="V79" s="17">
        <f t="shared" si="257"/>
        <v>0</v>
      </c>
      <c r="W79" s="17">
        <f t="shared" si="257"/>
        <v>0</v>
      </c>
      <c r="X79" s="17">
        <f t="shared" si="257"/>
        <v>0</v>
      </c>
      <c r="Y79" s="17">
        <f t="shared" si="257"/>
        <v>0</v>
      </c>
      <c r="Z79" s="17">
        <f t="shared" si="257"/>
        <v>0</v>
      </c>
      <c r="AA79" s="17">
        <f t="shared" si="257"/>
        <v>0</v>
      </c>
      <c r="AB79" s="17">
        <f t="shared" si="257"/>
        <v>0</v>
      </c>
      <c r="AC79" s="17">
        <f t="shared" si="257"/>
        <v>0</v>
      </c>
      <c r="AD79" s="17">
        <f t="shared" si="257"/>
        <v>0</v>
      </c>
      <c r="AE79" s="17">
        <f t="shared" si="257"/>
        <v>0</v>
      </c>
      <c r="AF79" s="17">
        <f t="shared" si="257"/>
        <v>0</v>
      </c>
      <c r="AG79" s="17">
        <f t="shared" si="257"/>
        <v>-1267610.379357514</v>
      </c>
      <c r="AH79" s="17">
        <f t="shared" si="257"/>
        <v>0</v>
      </c>
      <c r="AI79" s="17">
        <f t="shared" si="257"/>
        <v>0</v>
      </c>
      <c r="AJ79" s="17">
        <f t="shared" si="257"/>
        <v>0</v>
      </c>
      <c r="AK79" s="17">
        <f t="shared" si="257"/>
        <v>0</v>
      </c>
      <c r="AL79" s="17">
        <f t="shared" si="257"/>
        <v>0</v>
      </c>
      <c r="AM79" s="17">
        <f t="shared" si="257"/>
        <v>0</v>
      </c>
      <c r="AN79" s="17">
        <f t="shared" si="257"/>
        <v>0</v>
      </c>
      <c r="AO79" s="17">
        <f t="shared" si="257"/>
        <v>0</v>
      </c>
      <c r="AP79" s="17">
        <f t="shared" si="257"/>
        <v>0</v>
      </c>
      <c r="AQ79" s="17">
        <f t="shared" si="257"/>
        <v>0</v>
      </c>
      <c r="AR79" s="17">
        <f t="shared" si="257"/>
        <v>0</v>
      </c>
      <c r="AS79" s="17">
        <f t="shared" si="257"/>
        <v>0</v>
      </c>
      <c r="AT79" s="17">
        <f t="shared" si="257"/>
        <v>0</v>
      </c>
      <c r="AU79" s="17">
        <f t="shared" si="257"/>
        <v>0</v>
      </c>
      <c r="AV79" s="17">
        <f t="shared" si="257"/>
        <v>0</v>
      </c>
      <c r="AW79" s="17">
        <f t="shared" si="257"/>
        <v>0</v>
      </c>
      <c r="AX79" s="17">
        <f t="shared" si="257"/>
        <v>0</v>
      </c>
      <c r="AY79" s="17">
        <f t="shared" si="257"/>
        <v>0</v>
      </c>
      <c r="AZ79" s="17">
        <f t="shared" si="257"/>
        <v>0</v>
      </c>
      <c r="BA79" s="17">
        <f t="shared" si="257"/>
        <v>0</v>
      </c>
      <c r="BB79" s="17">
        <f t="shared" si="257"/>
        <v>0</v>
      </c>
      <c r="BC79" s="17">
        <f t="shared" si="257"/>
        <v>0</v>
      </c>
      <c r="BD79" s="17">
        <f t="shared" si="257"/>
        <v>0</v>
      </c>
      <c r="BE79" s="17">
        <f t="shared" si="257"/>
        <v>0</v>
      </c>
      <c r="BF79" s="17">
        <f t="shared" si="257"/>
        <v>0</v>
      </c>
      <c r="BG79" s="17">
        <f t="shared" si="257"/>
        <v>0</v>
      </c>
      <c r="BH79" s="17">
        <f t="shared" si="257"/>
        <v>0</v>
      </c>
      <c r="BI79" s="17">
        <f t="shared" si="257"/>
        <v>0</v>
      </c>
      <c r="BJ79" s="17">
        <f t="shared" si="257"/>
        <v>0</v>
      </c>
      <c r="BK79" s="17">
        <f t="shared" si="257"/>
        <v>0</v>
      </c>
    </row>
    <row r="80" spans="1:63" ht="16" thickBot="1">
      <c r="A80" s="32" t="s">
        <v>237</v>
      </c>
      <c r="B80" s="32"/>
      <c r="C80" s="34">
        <f>SUM(C78:C79)</f>
        <v>0</v>
      </c>
      <c r="D80" s="34">
        <f t="shared" ref="D80:BK80" si="258">SUM(D78:D79)</f>
        <v>0</v>
      </c>
      <c r="E80" s="34">
        <f t="shared" si="258"/>
        <v>0</v>
      </c>
      <c r="F80" s="34">
        <f t="shared" si="258"/>
        <v>0</v>
      </c>
      <c r="G80" s="34">
        <f t="shared" si="258"/>
        <v>0</v>
      </c>
      <c r="H80" s="34">
        <f t="shared" si="258"/>
        <v>0</v>
      </c>
      <c r="I80" s="34">
        <f t="shared" si="258"/>
        <v>0</v>
      </c>
      <c r="J80" s="34">
        <f t="shared" si="258"/>
        <v>0</v>
      </c>
      <c r="K80" s="34">
        <f t="shared" si="258"/>
        <v>0</v>
      </c>
      <c r="L80" s="34">
        <f t="shared" si="258"/>
        <v>0</v>
      </c>
      <c r="M80" s="34">
        <f t="shared" si="258"/>
        <v>0</v>
      </c>
      <c r="N80" s="34">
        <f t="shared" si="258"/>
        <v>0</v>
      </c>
      <c r="O80" s="34">
        <f t="shared" si="258"/>
        <v>0</v>
      </c>
      <c r="P80" s="34">
        <f t="shared" si="258"/>
        <v>0</v>
      </c>
      <c r="Q80" s="34">
        <f t="shared" si="258"/>
        <v>0</v>
      </c>
      <c r="R80" s="34">
        <f t="shared" si="258"/>
        <v>0</v>
      </c>
      <c r="S80" s="34">
        <f t="shared" si="258"/>
        <v>0</v>
      </c>
      <c r="T80" s="34">
        <f t="shared" si="258"/>
        <v>0</v>
      </c>
      <c r="U80" s="34">
        <f t="shared" si="258"/>
        <v>0</v>
      </c>
      <c r="V80" s="34">
        <f t="shared" si="258"/>
        <v>0</v>
      </c>
      <c r="W80" s="34">
        <f t="shared" si="258"/>
        <v>0</v>
      </c>
      <c r="X80" s="34">
        <f t="shared" si="258"/>
        <v>0</v>
      </c>
      <c r="Y80" s="34">
        <f t="shared" si="258"/>
        <v>0</v>
      </c>
      <c r="Z80" s="34">
        <f t="shared" si="258"/>
        <v>0</v>
      </c>
      <c r="AA80" s="34">
        <f t="shared" si="258"/>
        <v>0</v>
      </c>
      <c r="AB80" s="34">
        <f t="shared" si="258"/>
        <v>0</v>
      </c>
      <c r="AC80" s="34">
        <f t="shared" si="258"/>
        <v>0</v>
      </c>
      <c r="AD80" s="34">
        <f t="shared" si="258"/>
        <v>0</v>
      </c>
      <c r="AE80" s="34">
        <f t="shared" si="258"/>
        <v>0</v>
      </c>
      <c r="AF80" s="34">
        <f t="shared" si="258"/>
        <v>0</v>
      </c>
      <c r="AG80" s="34">
        <f t="shared" si="258"/>
        <v>40986068.932559617</v>
      </c>
      <c r="AH80" s="34">
        <f t="shared" si="258"/>
        <v>0</v>
      </c>
      <c r="AI80" s="34">
        <f t="shared" si="258"/>
        <v>0</v>
      </c>
      <c r="AJ80" s="34">
        <f t="shared" si="258"/>
        <v>0</v>
      </c>
      <c r="AK80" s="34">
        <f t="shared" si="258"/>
        <v>0</v>
      </c>
      <c r="AL80" s="34">
        <f t="shared" si="258"/>
        <v>0</v>
      </c>
      <c r="AM80" s="34">
        <f t="shared" si="258"/>
        <v>0</v>
      </c>
      <c r="AN80" s="34">
        <f t="shared" si="258"/>
        <v>0</v>
      </c>
      <c r="AO80" s="34">
        <f t="shared" si="258"/>
        <v>0</v>
      </c>
      <c r="AP80" s="34">
        <f t="shared" si="258"/>
        <v>0</v>
      </c>
      <c r="AQ80" s="34">
        <f t="shared" si="258"/>
        <v>0</v>
      </c>
      <c r="AR80" s="34">
        <f t="shared" si="258"/>
        <v>0</v>
      </c>
      <c r="AS80" s="34">
        <f t="shared" si="258"/>
        <v>0</v>
      </c>
      <c r="AT80" s="34">
        <f t="shared" si="258"/>
        <v>0</v>
      </c>
      <c r="AU80" s="34">
        <f t="shared" si="258"/>
        <v>0</v>
      </c>
      <c r="AV80" s="34">
        <f t="shared" si="258"/>
        <v>0</v>
      </c>
      <c r="AW80" s="34">
        <f t="shared" si="258"/>
        <v>0</v>
      </c>
      <c r="AX80" s="34">
        <f t="shared" si="258"/>
        <v>0</v>
      </c>
      <c r="AY80" s="34">
        <f t="shared" si="258"/>
        <v>0</v>
      </c>
      <c r="AZ80" s="34">
        <f t="shared" si="258"/>
        <v>0</v>
      </c>
      <c r="BA80" s="34">
        <f t="shared" si="258"/>
        <v>0</v>
      </c>
      <c r="BB80" s="34">
        <f t="shared" si="258"/>
        <v>0</v>
      </c>
      <c r="BC80" s="34">
        <f t="shared" si="258"/>
        <v>0</v>
      </c>
      <c r="BD80" s="34">
        <f t="shared" si="258"/>
        <v>0</v>
      </c>
      <c r="BE80" s="34">
        <f t="shared" si="258"/>
        <v>0</v>
      </c>
      <c r="BF80" s="34">
        <f t="shared" si="258"/>
        <v>0</v>
      </c>
      <c r="BG80" s="34">
        <f t="shared" si="258"/>
        <v>0</v>
      </c>
      <c r="BH80" s="34">
        <f t="shared" si="258"/>
        <v>0</v>
      </c>
      <c r="BI80" s="34">
        <f t="shared" si="258"/>
        <v>0</v>
      </c>
      <c r="BJ80" s="34">
        <f t="shared" si="258"/>
        <v>0</v>
      </c>
      <c r="BK80" s="34">
        <f t="shared" si="258"/>
        <v>0</v>
      </c>
    </row>
    <row r="81" spans="1:6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</row>
    <row r="82" spans="1:63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</row>
    <row r="83" spans="1:63">
      <c r="A83" s="374" t="s">
        <v>238</v>
      </c>
      <c r="B83" s="374"/>
      <c r="C83" s="374"/>
      <c r="D83" s="374"/>
      <c r="E83" s="374"/>
      <c r="F83" s="374"/>
      <c r="G83" s="374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74"/>
      <c r="AI83" s="374"/>
      <c r="AJ83" s="374"/>
      <c r="AK83" s="374"/>
      <c r="AL83" s="374"/>
      <c r="AM83" s="374"/>
      <c r="AN83" s="374"/>
      <c r="AO83" s="374"/>
      <c r="AP83" s="374"/>
      <c r="AQ83" s="374"/>
      <c r="AR83" s="374"/>
      <c r="AS83" s="374"/>
      <c r="AT83" s="374"/>
      <c r="AU83" s="374"/>
      <c r="AV83" s="374"/>
      <c r="AW83" s="374"/>
      <c r="AX83" s="374"/>
      <c r="AY83" s="374"/>
      <c r="AZ83" s="374"/>
      <c r="BA83" s="374"/>
      <c r="BB83" s="374"/>
      <c r="BC83" s="374"/>
      <c r="BD83" s="374"/>
      <c r="BE83" s="374"/>
      <c r="BF83" s="374"/>
      <c r="BG83" s="374"/>
      <c r="BH83" s="374"/>
      <c r="BI83" s="374"/>
      <c r="BJ83" s="374"/>
      <c r="BK83" s="374"/>
    </row>
    <row r="84" spans="1:63">
      <c r="A84" t="s">
        <v>239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</row>
    <row r="85" spans="1:63">
      <c r="A85" s="11" t="s">
        <v>240</v>
      </c>
      <c r="C85" s="17">
        <f t="shared" ref="C85:AH85" ca="1" si="259">-C29</f>
        <v>208485.78697437741</v>
      </c>
      <c r="D85" s="17">
        <f t="shared" si="259"/>
        <v>0</v>
      </c>
      <c r="E85" s="17">
        <f t="shared" si="259"/>
        <v>0</v>
      </c>
      <c r="F85" s="17">
        <f t="shared" si="259"/>
        <v>0</v>
      </c>
      <c r="G85" s="17">
        <f t="shared" si="259"/>
        <v>0</v>
      </c>
      <c r="H85" s="17">
        <f t="shared" si="259"/>
        <v>0</v>
      </c>
      <c r="I85" s="17">
        <f t="shared" si="259"/>
        <v>0</v>
      </c>
      <c r="J85" s="17">
        <f t="shared" si="259"/>
        <v>0</v>
      </c>
      <c r="K85" s="17">
        <f t="shared" si="259"/>
        <v>0</v>
      </c>
      <c r="L85" s="17">
        <f t="shared" si="259"/>
        <v>0</v>
      </c>
      <c r="M85" s="17">
        <f t="shared" si="259"/>
        <v>0</v>
      </c>
      <c r="N85" s="17">
        <f t="shared" si="259"/>
        <v>0</v>
      </c>
      <c r="O85" s="17">
        <f t="shared" si="259"/>
        <v>0</v>
      </c>
      <c r="P85" s="17">
        <f t="shared" si="259"/>
        <v>0</v>
      </c>
      <c r="Q85" s="17">
        <f t="shared" si="259"/>
        <v>0</v>
      </c>
      <c r="R85" s="17">
        <f t="shared" si="259"/>
        <v>0</v>
      </c>
      <c r="S85" s="17">
        <f t="shared" si="259"/>
        <v>0</v>
      </c>
      <c r="T85" s="17">
        <f t="shared" si="259"/>
        <v>0</v>
      </c>
      <c r="U85" s="17">
        <f t="shared" si="259"/>
        <v>0</v>
      </c>
      <c r="V85" s="17">
        <f t="shared" si="259"/>
        <v>0</v>
      </c>
      <c r="W85" s="17">
        <f t="shared" si="259"/>
        <v>0</v>
      </c>
      <c r="X85" s="17">
        <f t="shared" si="259"/>
        <v>0</v>
      </c>
      <c r="Y85" s="17">
        <f t="shared" si="259"/>
        <v>0</v>
      </c>
      <c r="Z85" s="17">
        <f t="shared" si="259"/>
        <v>0</v>
      </c>
      <c r="AA85" s="17">
        <f t="shared" si="259"/>
        <v>0</v>
      </c>
      <c r="AB85" s="17">
        <f t="shared" si="259"/>
        <v>0</v>
      </c>
      <c r="AC85" s="17">
        <f t="shared" si="259"/>
        <v>0</v>
      </c>
      <c r="AD85" s="17">
        <f t="shared" si="259"/>
        <v>0</v>
      </c>
      <c r="AE85" s="17">
        <f t="shared" si="259"/>
        <v>0</v>
      </c>
      <c r="AF85" s="17">
        <f t="shared" si="259"/>
        <v>0</v>
      </c>
      <c r="AG85" s="17">
        <f t="shared" si="259"/>
        <v>0</v>
      </c>
      <c r="AH85" s="17">
        <f t="shared" si="259"/>
        <v>0</v>
      </c>
      <c r="AI85" s="17">
        <f t="shared" ref="AI85:BK85" si="260">-AI29</f>
        <v>0</v>
      </c>
      <c r="AJ85" s="17">
        <f t="shared" si="260"/>
        <v>0</v>
      </c>
      <c r="AK85" s="17">
        <f t="shared" si="260"/>
        <v>0</v>
      </c>
      <c r="AL85" s="17">
        <f t="shared" si="260"/>
        <v>0</v>
      </c>
      <c r="AM85" s="17">
        <f t="shared" si="260"/>
        <v>0</v>
      </c>
      <c r="AN85" s="17">
        <f t="shared" si="260"/>
        <v>0</v>
      </c>
      <c r="AO85" s="17">
        <f t="shared" si="260"/>
        <v>0</v>
      </c>
      <c r="AP85" s="17">
        <f t="shared" si="260"/>
        <v>0</v>
      </c>
      <c r="AQ85" s="17">
        <f t="shared" si="260"/>
        <v>0</v>
      </c>
      <c r="AR85" s="17">
        <f t="shared" si="260"/>
        <v>0</v>
      </c>
      <c r="AS85" s="17">
        <f t="shared" si="260"/>
        <v>0</v>
      </c>
      <c r="AT85" s="17">
        <f t="shared" si="260"/>
        <v>0</v>
      </c>
      <c r="AU85" s="17">
        <f t="shared" si="260"/>
        <v>0</v>
      </c>
      <c r="AV85" s="17">
        <f t="shared" si="260"/>
        <v>0</v>
      </c>
      <c r="AW85" s="17">
        <f t="shared" si="260"/>
        <v>0</v>
      </c>
      <c r="AX85" s="17">
        <f t="shared" si="260"/>
        <v>0</v>
      </c>
      <c r="AY85" s="17">
        <f t="shared" si="260"/>
        <v>0</v>
      </c>
      <c r="AZ85" s="17">
        <f t="shared" si="260"/>
        <v>0</v>
      </c>
      <c r="BA85" s="17">
        <f t="shared" si="260"/>
        <v>0</v>
      </c>
      <c r="BB85" s="17">
        <f t="shared" si="260"/>
        <v>0</v>
      </c>
      <c r="BC85" s="17">
        <f t="shared" si="260"/>
        <v>0</v>
      </c>
      <c r="BD85" s="17">
        <f t="shared" si="260"/>
        <v>0</v>
      </c>
      <c r="BE85" s="17">
        <f t="shared" si="260"/>
        <v>0</v>
      </c>
      <c r="BF85" s="17">
        <f t="shared" si="260"/>
        <v>0</v>
      </c>
      <c r="BG85" s="17">
        <f t="shared" si="260"/>
        <v>0</v>
      </c>
      <c r="BH85" s="17">
        <f t="shared" si="260"/>
        <v>0</v>
      </c>
      <c r="BI85" s="17">
        <f t="shared" si="260"/>
        <v>0</v>
      </c>
      <c r="BJ85" s="17">
        <f t="shared" si="260"/>
        <v>0</v>
      </c>
      <c r="BK85" s="17">
        <f t="shared" si="260"/>
        <v>0</v>
      </c>
    </row>
    <row r="86" spans="1:63">
      <c r="A86" s="11" t="s">
        <v>241</v>
      </c>
      <c r="B86" s="16">
        <f ca="1">Inputs!K49</f>
        <v>835273.88091531815</v>
      </c>
      <c r="C86" s="17">
        <f t="shared" ref="C86:AH86" ca="1" si="261">-C30</f>
        <v>0</v>
      </c>
      <c r="D86" s="17">
        <f t="shared" ca="1" si="261"/>
        <v>0</v>
      </c>
      <c r="E86" s="17">
        <f t="shared" ca="1" si="261"/>
        <v>0</v>
      </c>
      <c r="F86" s="17">
        <f t="shared" ca="1" si="261"/>
        <v>0</v>
      </c>
      <c r="G86" s="17">
        <f t="shared" ca="1" si="261"/>
        <v>0</v>
      </c>
      <c r="H86" s="17">
        <f t="shared" ca="1" si="261"/>
        <v>0</v>
      </c>
      <c r="I86" s="17">
        <f t="shared" ca="1" si="261"/>
        <v>0</v>
      </c>
      <c r="J86" s="17">
        <f t="shared" ca="1" si="261"/>
        <v>0</v>
      </c>
      <c r="K86" s="17">
        <f t="shared" ca="1" si="261"/>
        <v>0</v>
      </c>
      <c r="L86" s="17">
        <f t="shared" ca="1" si="261"/>
        <v>7244.509002172882</v>
      </c>
      <c r="M86" s="17">
        <f t="shared" ca="1" si="261"/>
        <v>28085.076369371065</v>
      </c>
      <c r="N86" s="17">
        <f t="shared" ca="1" si="261"/>
        <v>49065.51331430758</v>
      </c>
      <c r="O86" s="17">
        <f t="shared" ca="1" si="261"/>
        <v>70186.758558992457</v>
      </c>
      <c r="P86" s="17">
        <f t="shared" ca="1" si="261"/>
        <v>91449.757125583361</v>
      </c>
      <c r="Q86" s="17">
        <f t="shared" ca="1" si="261"/>
        <v>100170.89662027934</v>
      </c>
      <c r="R86" s="17">
        <f t="shared" ca="1" si="261"/>
        <v>108950.56725066314</v>
      </c>
      <c r="S86" s="17">
        <f t="shared" ca="1" si="261"/>
        <v>117789.16184316044</v>
      </c>
      <c r="T86" s="17">
        <f t="shared" ca="1" si="261"/>
        <v>126687.07586061578</v>
      </c>
      <c r="U86" s="17">
        <f t="shared" ca="1" si="261"/>
        <v>135644.70741998669</v>
      </c>
      <c r="V86" s="17">
        <f t="shared" si="261"/>
        <v>0</v>
      </c>
      <c r="W86" s="17">
        <f t="shared" si="261"/>
        <v>0</v>
      </c>
      <c r="X86" s="17">
        <f t="shared" si="261"/>
        <v>0</v>
      </c>
      <c r="Y86" s="17">
        <f t="shared" si="261"/>
        <v>0</v>
      </c>
      <c r="Z86" s="17">
        <f t="shared" si="261"/>
        <v>0</v>
      </c>
      <c r="AA86" s="17">
        <f t="shared" si="261"/>
        <v>0</v>
      </c>
      <c r="AB86" s="17">
        <f t="shared" si="261"/>
        <v>0</v>
      </c>
      <c r="AC86" s="17">
        <f t="shared" si="261"/>
        <v>0</v>
      </c>
      <c r="AD86" s="17">
        <f t="shared" si="261"/>
        <v>0</v>
      </c>
      <c r="AE86" s="17">
        <f t="shared" si="261"/>
        <v>0</v>
      </c>
      <c r="AF86" s="17">
        <f t="shared" si="261"/>
        <v>0</v>
      </c>
      <c r="AG86" s="17">
        <f t="shared" si="261"/>
        <v>0</v>
      </c>
      <c r="AH86" s="17">
        <f t="shared" si="261"/>
        <v>0</v>
      </c>
      <c r="AI86" s="17">
        <f t="shared" ref="AI86:BK86" si="262">-AI30</f>
        <v>0</v>
      </c>
      <c r="AJ86" s="17">
        <f t="shared" si="262"/>
        <v>0</v>
      </c>
      <c r="AK86" s="17">
        <f t="shared" si="262"/>
        <v>0</v>
      </c>
      <c r="AL86" s="17">
        <f t="shared" si="262"/>
        <v>0</v>
      </c>
      <c r="AM86" s="17">
        <f t="shared" si="262"/>
        <v>0</v>
      </c>
      <c r="AN86" s="17">
        <f t="shared" si="262"/>
        <v>0</v>
      </c>
      <c r="AO86" s="17">
        <f t="shared" si="262"/>
        <v>0</v>
      </c>
      <c r="AP86" s="17">
        <f t="shared" si="262"/>
        <v>0</v>
      </c>
      <c r="AQ86" s="17">
        <f t="shared" si="262"/>
        <v>0</v>
      </c>
      <c r="AR86" s="17">
        <f t="shared" si="262"/>
        <v>0</v>
      </c>
      <c r="AS86" s="17">
        <f t="shared" si="262"/>
        <v>0</v>
      </c>
      <c r="AT86" s="17">
        <f t="shared" si="262"/>
        <v>0</v>
      </c>
      <c r="AU86" s="17">
        <f t="shared" si="262"/>
        <v>0</v>
      </c>
      <c r="AV86" s="17">
        <f t="shared" si="262"/>
        <v>0</v>
      </c>
      <c r="AW86" s="17">
        <f t="shared" si="262"/>
        <v>0</v>
      </c>
      <c r="AX86" s="17">
        <f t="shared" si="262"/>
        <v>0</v>
      </c>
      <c r="AY86" s="17">
        <f t="shared" si="262"/>
        <v>0</v>
      </c>
      <c r="AZ86" s="17">
        <f t="shared" si="262"/>
        <v>0</v>
      </c>
      <c r="BA86" s="17">
        <f t="shared" si="262"/>
        <v>0</v>
      </c>
      <c r="BB86" s="17">
        <f t="shared" si="262"/>
        <v>0</v>
      </c>
      <c r="BC86" s="17">
        <f t="shared" si="262"/>
        <v>0</v>
      </c>
      <c r="BD86" s="17">
        <f t="shared" si="262"/>
        <v>0</v>
      </c>
      <c r="BE86" s="17">
        <f t="shared" si="262"/>
        <v>0</v>
      </c>
      <c r="BF86" s="17">
        <f t="shared" si="262"/>
        <v>0</v>
      </c>
      <c r="BG86" s="17">
        <f t="shared" si="262"/>
        <v>0</v>
      </c>
      <c r="BH86" s="17">
        <f t="shared" si="262"/>
        <v>0</v>
      </c>
      <c r="BI86" s="17">
        <f t="shared" si="262"/>
        <v>0</v>
      </c>
      <c r="BJ86" s="17">
        <f t="shared" si="262"/>
        <v>0</v>
      </c>
      <c r="BK86" s="17">
        <f t="shared" si="262"/>
        <v>0</v>
      </c>
    </row>
    <row r="87" spans="1:63">
      <c r="A87" s="11" t="s">
        <v>242</v>
      </c>
      <c r="B87" s="16">
        <f ca="1">Inputs!K51</f>
        <v>501871.19848427852</v>
      </c>
      <c r="C87" s="17">
        <f t="shared" ref="C87:AH87" si="263">-C31</f>
        <v>0</v>
      </c>
      <c r="D87" s="17">
        <f t="shared" si="263"/>
        <v>0</v>
      </c>
      <c r="E87" s="17">
        <f t="shared" si="263"/>
        <v>0</v>
      </c>
      <c r="F87" s="17">
        <f t="shared" si="263"/>
        <v>0</v>
      </c>
      <c r="G87" s="17">
        <f t="shared" si="263"/>
        <v>0</v>
      </c>
      <c r="H87" s="17">
        <f t="shared" si="263"/>
        <v>0</v>
      </c>
      <c r="I87" s="17">
        <f t="shared" si="263"/>
        <v>0</v>
      </c>
      <c r="J87" s="17">
        <f t="shared" si="263"/>
        <v>0</v>
      </c>
      <c r="K87" s="17">
        <f t="shared" si="263"/>
        <v>0</v>
      </c>
      <c r="L87" s="17">
        <f t="shared" si="263"/>
        <v>0</v>
      </c>
      <c r="M87" s="17">
        <f t="shared" si="263"/>
        <v>0</v>
      </c>
      <c r="N87" s="17">
        <f t="shared" si="263"/>
        <v>0</v>
      </c>
      <c r="O87" s="17">
        <f t="shared" si="263"/>
        <v>0</v>
      </c>
      <c r="P87" s="17">
        <f t="shared" si="263"/>
        <v>0</v>
      </c>
      <c r="Q87" s="17">
        <f t="shared" si="263"/>
        <v>0</v>
      </c>
      <c r="R87" s="17">
        <f t="shared" si="263"/>
        <v>0</v>
      </c>
      <c r="S87" s="17">
        <f t="shared" si="263"/>
        <v>0</v>
      </c>
      <c r="T87" s="17">
        <f t="shared" si="263"/>
        <v>0</v>
      </c>
      <c r="U87" s="17">
        <f t="shared" si="263"/>
        <v>0</v>
      </c>
      <c r="V87" s="17">
        <f t="shared" ca="1" si="263"/>
        <v>119914.19160650723</v>
      </c>
      <c r="W87" s="17">
        <f t="shared" ca="1" si="263"/>
        <v>104078.10185959096</v>
      </c>
      <c r="X87" s="17">
        <f t="shared" ca="1" si="263"/>
        <v>88135.729629360299</v>
      </c>
      <c r="Y87" s="17">
        <f t="shared" ca="1" si="263"/>
        <v>72086.361610569555</v>
      </c>
      <c r="Z87" s="17">
        <f t="shared" ca="1" si="263"/>
        <v>55929.279710689385</v>
      </c>
      <c r="AA87" s="17">
        <f t="shared" ca="1" si="263"/>
        <v>39663.761017777375</v>
      </c>
      <c r="AB87" s="17">
        <f t="shared" ca="1" si="263"/>
        <v>19553.590032054315</v>
      </c>
      <c r="AC87" s="17">
        <f t="shared" ca="1" si="263"/>
        <v>2510.2980850088934</v>
      </c>
      <c r="AD87" s="17">
        <f t="shared" ca="1" si="263"/>
        <v>0</v>
      </c>
      <c r="AE87" s="17">
        <f t="shared" ca="1" si="263"/>
        <v>0</v>
      </c>
      <c r="AF87" s="17">
        <f t="shared" ca="1" si="263"/>
        <v>0</v>
      </c>
      <c r="AG87" s="17">
        <f t="shared" si="263"/>
        <v>0</v>
      </c>
      <c r="AH87" s="17">
        <f t="shared" si="263"/>
        <v>0</v>
      </c>
      <c r="AI87" s="17">
        <f t="shared" ref="AI87:BK87" si="264">-AI31</f>
        <v>0</v>
      </c>
      <c r="AJ87" s="17">
        <f t="shared" si="264"/>
        <v>0</v>
      </c>
      <c r="AK87" s="17">
        <f t="shared" si="264"/>
        <v>0</v>
      </c>
      <c r="AL87" s="17">
        <f t="shared" si="264"/>
        <v>0</v>
      </c>
      <c r="AM87" s="17">
        <f t="shared" si="264"/>
        <v>0</v>
      </c>
      <c r="AN87" s="17">
        <f t="shared" si="264"/>
        <v>0</v>
      </c>
      <c r="AO87" s="17">
        <f t="shared" si="264"/>
        <v>0</v>
      </c>
      <c r="AP87" s="17">
        <f t="shared" si="264"/>
        <v>0</v>
      </c>
      <c r="AQ87" s="17">
        <f t="shared" si="264"/>
        <v>0</v>
      </c>
      <c r="AR87" s="17">
        <f t="shared" si="264"/>
        <v>0</v>
      </c>
      <c r="AS87" s="17">
        <f t="shared" si="264"/>
        <v>0</v>
      </c>
      <c r="AT87" s="17">
        <f t="shared" si="264"/>
        <v>0</v>
      </c>
      <c r="AU87" s="17">
        <f t="shared" si="264"/>
        <v>0</v>
      </c>
      <c r="AV87" s="17">
        <f t="shared" si="264"/>
        <v>0</v>
      </c>
      <c r="AW87" s="17">
        <f t="shared" si="264"/>
        <v>0</v>
      </c>
      <c r="AX87" s="17">
        <f t="shared" si="264"/>
        <v>0</v>
      </c>
      <c r="AY87" s="17">
        <f t="shared" si="264"/>
        <v>0</v>
      </c>
      <c r="AZ87" s="17">
        <f t="shared" si="264"/>
        <v>0</v>
      </c>
      <c r="BA87" s="17">
        <f t="shared" si="264"/>
        <v>0</v>
      </c>
      <c r="BB87" s="17">
        <f t="shared" si="264"/>
        <v>0</v>
      </c>
      <c r="BC87" s="17">
        <f t="shared" si="264"/>
        <v>0</v>
      </c>
      <c r="BD87" s="17">
        <f t="shared" si="264"/>
        <v>0</v>
      </c>
      <c r="BE87" s="17">
        <f t="shared" si="264"/>
        <v>0</v>
      </c>
      <c r="BF87" s="17">
        <f t="shared" si="264"/>
        <v>0</v>
      </c>
      <c r="BG87" s="17">
        <f t="shared" si="264"/>
        <v>0</v>
      </c>
      <c r="BH87" s="17">
        <f t="shared" si="264"/>
        <v>0</v>
      </c>
      <c r="BI87" s="17">
        <f t="shared" si="264"/>
        <v>0</v>
      </c>
      <c r="BJ87" s="17">
        <f t="shared" si="264"/>
        <v>0</v>
      </c>
      <c r="BK87" s="17">
        <f t="shared" si="264"/>
        <v>0</v>
      </c>
    </row>
    <row r="88" spans="1:63">
      <c r="A88" t="s">
        <v>243</v>
      </c>
      <c r="C88" s="17">
        <f t="shared" ref="C88:AH88" ca="1" si="265">C80+C71+C34</f>
        <v>-5366485.786974377</v>
      </c>
      <c r="D88" s="17">
        <f t="shared" ca="1" si="265"/>
        <v>-158000</v>
      </c>
      <c r="E88" s="17">
        <f t="shared" ca="1" si="265"/>
        <v>-158000</v>
      </c>
      <c r="F88" s="17">
        <f t="shared" ca="1" si="265"/>
        <v>-158000</v>
      </c>
      <c r="G88" s="17">
        <f t="shared" ca="1" si="265"/>
        <v>-158000</v>
      </c>
      <c r="H88" s="17">
        <f t="shared" ca="1" si="265"/>
        <v>-158000</v>
      </c>
      <c r="I88" s="17">
        <f t="shared" ca="1" si="265"/>
        <v>-158000</v>
      </c>
      <c r="J88" s="17">
        <f t="shared" ca="1" si="265"/>
        <v>-1208000</v>
      </c>
      <c r="K88" s="17">
        <f t="shared" ca="1" si="265"/>
        <v>-4358000</v>
      </c>
      <c r="L88" s="17">
        <f t="shared" ca="1" si="265"/>
        <v>-3105244.5090021729</v>
      </c>
      <c r="M88" s="17">
        <f t="shared" ca="1" si="265"/>
        <v>-3126085.0763693713</v>
      </c>
      <c r="N88" s="17">
        <f t="shared" ca="1" si="265"/>
        <v>-3147065.5133143077</v>
      </c>
      <c r="O88" s="17">
        <f t="shared" ca="1" si="265"/>
        <v>-3168186.7585589923</v>
      </c>
      <c r="P88" s="17">
        <f t="shared" ca="1" si="265"/>
        <v>-3189449.7571255835</v>
      </c>
      <c r="Q88" s="17">
        <f t="shared" ca="1" si="265"/>
        <v>-1308170.8966202794</v>
      </c>
      <c r="R88" s="17">
        <f t="shared" ca="1" si="265"/>
        <v>-1316950.5672506632</v>
      </c>
      <c r="S88" s="17">
        <f t="shared" ca="1" si="265"/>
        <v>-1325789.1618431604</v>
      </c>
      <c r="T88" s="17">
        <f t="shared" ca="1" si="265"/>
        <v>-1334687.0758606158</v>
      </c>
      <c r="U88" s="17">
        <f t="shared" ca="1" si="265"/>
        <v>-1343644.7074199866</v>
      </c>
      <c r="V88" s="17">
        <f t="shared" ca="1" si="265"/>
        <v>-103384.24767421556</v>
      </c>
      <c r="W88" s="17">
        <f t="shared" ca="1" si="265"/>
        <v>-71018.213995007623</v>
      </c>
      <c r="X88" s="17">
        <f t="shared" ca="1" si="265"/>
        <v>-38545.897832485323</v>
      </c>
      <c r="Y88" s="17">
        <f t="shared" ca="1" si="265"/>
        <v>-5966.5858814028907</v>
      </c>
      <c r="Z88" s="17">
        <f t="shared" ca="1" si="265"/>
        <v>26720.439950768923</v>
      </c>
      <c r="AA88" s="17">
        <f t="shared" ca="1" si="265"/>
        <v>59515.902575972636</v>
      </c>
      <c r="AB88" s="17">
        <f t="shared" ca="1" si="265"/>
        <v>99866.601978492399</v>
      </c>
      <c r="AC88" s="17">
        <f t="shared" ca="1" si="265"/>
        <v>133969.92135561598</v>
      </c>
      <c r="AD88" s="17">
        <f t="shared" ca="1" si="265"/>
        <v>153540.24687070301</v>
      </c>
      <c r="AE88" s="17">
        <f t="shared" ca="1" si="265"/>
        <v>170600.27430078102</v>
      </c>
      <c r="AF88" s="17">
        <f t="shared" ca="1" si="265"/>
        <v>187660.30173085921</v>
      </c>
      <c r="AG88" s="17">
        <f t="shared" si="265"/>
        <v>41190789.261720553</v>
      </c>
      <c r="AH88" s="17">
        <f t="shared" si="265"/>
        <v>0</v>
      </c>
      <c r="AI88" s="17">
        <f t="shared" ref="AI88:BK88" si="266">AI80+AI71+AI34</f>
        <v>0</v>
      </c>
      <c r="AJ88" s="17">
        <f t="shared" si="266"/>
        <v>0</v>
      </c>
      <c r="AK88" s="17">
        <f t="shared" si="266"/>
        <v>0</v>
      </c>
      <c r="AL88" s="17">
        <f t="shared" si="266"/>
        <v>0</v>
      </c>
      <c r="AM88" s="17">
        <f t="shared" si="266"/>
        <v>0</v>
      </c>
      <c r="AN88" s="17">
        <f t="shared" si="266"/>
        <v>0</v>
      </c>
      <c r="AO88" s="17">
        <f t="shared" si="266"/>
        <v>0</v>
      </c>
      <c r="AP88" s="17">
        <f t="shared" si="266"/>
        <v>0</v>
      </c>
      <c r="AQ88" s="17">
        <f t="shared" si="266"/>
        <v>0</v>
      </c>
      <c r="AR88" s="17">
        <f t="shared" si="266"/>
        <v>0</v>
      </c>
      <c r="AS88" s="17">
        <f t="shared" si="266"/>
        <v>0</v>
      </c>
      <c r="AT88" s="17">
        <f t="shared" si="266"/>
        <v>0</v>
      </c>
      <c r="AU88" s="17">
        <f t="shared" si="266"/>
        <v>0</v>
      </c>
      <c r="AV88" s="17">
        <f t="shared" si="266"/>
        <v>0</v>
      </c>
      <c r="AW88" s="17">
        <f t="shared" si="266"/>
        <v>0</v>
      </c>
      <c r="AX88" s="17">
        <f t="shared" si="266"/>
        <v>0</v>
      </c>
      <c r="AY88" s="17">
        <f t="shared" si="266"/>
        <v>0</v>
      </c>
      <c r="AZ88" s="17">
        <f t="shared" si="266"/>
        <v>0</v>
      </c>
      <c r="BA88" s="17">
        <f t="shared" si="266"/>
        <v>0</v>
      </c>
      <c r="BB88" s="17">
        <f t="shared" si="266"/>
        <v>0</v>
      </c>
      <c r="BC88" s="17">
        <f t="shared" si="266"/>
        <v>0</v>
      </c>
      <c r="BD88" s="17">
        <f t="shared" si="266"/>
        <v>0</v>
      </c>
      <c r="BE88" s="17">
        <f t="shared" si="266"/>
        <v>0</v>
      </c>
      <c r="BF88" s="17">
        <f t="shared" si="266"/>
        <v>0</v>
      </c>
      <c r="BG88" s="17">
        <f t="shared" si="266"/>
        <v>0</v>
      </c>
      <c r="BH88" s="17">
        <f t="shared" si="266"/>
        <v>0</v>
      </c>
      <c r="BI88" s="17">
        <f t="shared" si="266"/>
        <v>0</v>
      </c>
      <c r="BJ88" s="17">
        <f t="shared" si="266"/>
        <v>0</v>
      </c>
      <c r="BK88" s="17">
        <f t="shared" si="266"/>
        <v>0</v>
      </c>
    </row>
    <row r="89" spans="1:63">
      <c r="A89" s="37" t="s">
        <v>244</v>
      </c>
      <c r="B89" s="37"/>
      <c r="C89" s="38">
        <f ca="1">SUM(C85:C88)</f>
        <v>-5158000</v>
      </c>
      <c r="D89" s="38">
        <f t="shared" ref="D89:BK89" ca="1" si="267">SUM(D85:D88)</f>
        <v>-158000</v>
      </c>
      <c r="E89" s="38">
        <f t="shared" ca="1" si="267"/>
        <v>-158000</v>
      </c>
      <c r="F89" s="38">
        <f t="shared" ca="1" si="267"/>
        <v>-158000</v>
      </c>
      <c r="G89" s="38">
        <f t="shared" ca="1" si="267"/>
        <v>-158000</v>
      </c>
      <c r="H89" s="38">
        <f t="shared" ca="1" si="267"/>
        <v>-158000</v>
      </c>
      <c r="I89" s="38">
        <f t="shared" ca="1" si="267"/>
        <v>-158000</v>
      </c>
      <c r="J89" s="38">
        <f t="shared" ca="1" si="267"/>
        <v>-1208000</v>
      </c>
      <c r="K89" s="38">
        <f t="shared" ca="1" si="267"/>
        <v>-4358000</v>
      </c>
      <c r="L89" s="38">
        <f t="shared" ca="1" si="267"/>
        <v>-3098000</v>
      </c>
      <c r="M89" s="38">
        <f t="shared" ca="1" si="267"/>
        <v>-3098000</v>
      </c>
      <c r="N89" s="38">
        <f t="shared" ca="1" si="267"/>
        <v>-3098000</v>
      </c>
      <c r="O89" s="38">
        <f t="shared" ca="1" si="267"/>
        <v>-3098000</v>
      </c>
      <c r="P89" s="38">
        <f t="shared" ca="1" si="267"/>
        <v>-3098000</v>
      </c>
      <c r="Q89" s="38">
        <f t="shared" ca="1" si="267"/>
        <v>-1208000</v>
      </c>
      <c r="R89" s="38">
        <f t="shared" ca="1" si="267"/>
        <v>-1208000</v>
      </c>
      <c r="S89" s="38">
        <f t="shared" ca="1" si="267"/>
        <v>-1208000</v>
      </c>
      <c r="T89" s="38">
        <f t="shared" ca="1" si="267"/>
        <v>-1208000</v>
      </c>
      <c r="U89" s="38">
        <f t="shared" ca="1" si="267"/>
        <v>-1208000</v>
      </c>
      <c r="V89" s="38">
        <f t="shared" ca="1" si="267"/>
        <v>16529.943932291673</v>
      </c>
      <c r="W89" s="38">
        <f t="shared" ca="1" si="267"/>
        <v>33059.887864583332</v>
      </c>
      <c r="X89" s="38">
        <f t="shared" ca="1" si="267"/>
        <v>49589.831796874976</v>
      </c>
      <c r="Y89" s="38">
        <f t="shared" ca="1" si="267"/>
        <v>66119.775729166664</v>
      </c>
      <c r="Z89" s="38">
        <f t="shared" ca="1" si="267"/>
        <v>82649.719661458308</v>
      </c>
      <c r="AA89" s="38">
        <f t="shared" ca="1" si="267"/>
        <v>99179.66359375001</v>
      </c>
      <c r="AB89" s="38">
        <f t="shared" ca="1" si="267"/>
        <v>119420.19201054671</v>
      </c>
      <c r="AC89" s="38">
        <f t="shared" ca="1" si="267"/>
        <v>136480.21944062487</v>
      </c>
      <c r="AD89" s="38">
        <f t="shared" ca="1" si="267"/>
        <v>153540.24687070301</v>
      </c>
      <c r="AE89" s="38">
        <f t="shared" ca="1" si="267"/>
        <v>170600.27430078102</v>
      </c>
      <c r="AF89" s="38">
        <f t="shared" ca="1" si="267"/>
        <v>187660.30173085921</v>
      </c>
      <c r="AG89" s="38">
        <f t="shared" si="267"/>
        <v>41190789.261720553</v>
      </c>
      <c r="AH89" s="38">
        <f t="shared" si="267"/>
        <v>0</v>
      </c>
      <c r="AI89" s="38">
        <f t="shared" si="267"/>
        <v>0</v>
      </c>
      <c r="AJ89" s="38">
        <f t="shared" si="267"/>
        <v>0</v>
      </c>
      <c r="AK89" s="38">
        <f t="shared" si="267"/>
        <v>0</v>
      </c>
      <c r="AL89" s="38">
        <f t="shared" si="267"/>
        <v>0</v>
      </c>
      <c r="AM89" s="38">
        <f t="shared" si="267"/>
        <v>0</v>
      </c>
      <c r="AN89" s="38">
        <f t="shared" si="267"/>
        <v>0</v>
      </c>
      <c r="AO89" s="38">
        <f t="shared" si="267"/>
        <v>0</v>
      </c>
      <c r="AP89" s="38">
        <f t="shared" si="267"/>
        <v>0</v>
      </c>
      <c r="AQ89" s="38">
        <f t="shared" si="267"/>
        <v>0</v>
      </c>
      <c r="AR89" s="38">
        <f t="shared" si="267"/>
        <v>0</v>
      </c>
      <c r="AS89" s="38">
        <f t="shared" si="267"/>
        <v>0</v>
      </c>
      <c r="AT89" s="38">
        <f t="shared" si="267"/>
        <v>0</v>
      </c>
      <c r="AU89" s="38">
        <f t="shared" si="267"/>
        <v>0</v>
      </c>
      <c r="AV89" s="38">
        <f t="shared" si="267"/>
        <v>0</v>
      </c>
      <c r="AW89" s="38">
        <f t="shared" si="267"/>
        <v>0</v>
      </c>
      <c r="AX89" s="38">
        <f t="shared" si="267"/>
        <v>0</v>
      </c>
      <c r="AY89" s="38">
        <f t="shared" si="267"/>
        <v>0</v>
      </c>
      <c r="AZ89" s="38">
        <f t="shared" si="267"/>
        <v>0</v>
      </c>
      <c r="BA89" s="38">
        <f t="shared" si="267"/>
        <v>0</v>
      </c>
      <c r="BB89" s="38">
        <f t="shared" si="267"/>
        <v>0</v>
      </c>
      <c r="BC89" s="38">
        <f t="shared" si="267"/>
        <v>0</v>
      </c>
      <c r="BD89" s="38">
        <f t="shared" si="267"/>
        <v>0</v>
      </c>
      <c r="BE89" s="38">
        <f t="shared" si="267"/>
        <v>0</v>
      </c>
      <c r="BF89" s="38">
        <f t="shared" si="267"/>
        <v>0</v>
      </c>
      <c r="BG89" s="38">
        <f t="shared" si="267"/>
        <v>0</v>
      </c>
      <c r="BH89" s="38">
        <f t="shared" si="267"/>
        <v>0</v>
      </c>
      <c r="BI89" s="38">
        <f t="shared" si="267"/>
        <v>0</v>
      </c>
      <c r="BJ89" s="38">
        <f t="shared" si="267"/>
        <v>0</v>
      </c>
      <c r="BK89" s="38">
        <f t="shared" si="267"/>
        <v>0</v>
      </c>
    </row>
    <row r="90" spans="1:6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</row>
    <row r="91" spans="1:63">
      <c r="A91" s="10" t="s">
        <v>176</v>
      </c>
      <c r="B91" s="1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</row>
    <row r="92" spans="1:63">
      <c r="A92" s="39" t="s">
        <v>177</v>
      </c>
      <c r="B92" s="40">
        <f ca="1">XIRR(C89:BK89, C7:BK7)</f>
        <v>0.15191290974617006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</row>
    <row r="93" spans="1:63">
      <c r="A93" s="41" t="s">
        <v>178</v>
      </c>
      <c r="B93" s="42">
        <f ca="1">SUMIF(C89:BK89, "&gt;0")/-SUMIF(C89:BK89, "&lt;0")</f>
        <v>1.2741888837615865</v>
      </c>
    </row>
    <row r="94" spans="1:63">
      <c r="A94" s="43" t="s">
        <v>179</v>
      </c>
      <c r="B94" s="53">
        <f ca="1">SUM(C89:BK89)</f>
        <v>9103619.318652194</v>
      </c>
    </row>
    <row r="95" spans="1:63">
      <c r="B95" s="44"/>
    </row>
    <row r="96" spans="1:63">
      <c r="A96" t="s">
        <v>245</v>
      </c>
      <c r="B96" s="51"/>
      <c r="C96" s="30">
        <f t="shared" ref="C96:AH96" ca="1" si="268">C41</f>
        <v>-5366485.786974377</v>
      </c>
      <c r="D96" s="30">
        <f t="shared" ca="1" si="268"/>
        <v>-158000</v>
      </c>
      <c r="E96" s="30">
        <f t="shared" ca="1" si="268"/>
        <v>-158000</v>
      </c>
      <c r="F96" s="30">
        <f t="shared" ca="1" si="268"/>
        <v>-158000</v>
      </c>
      <c r="G96" s="30">
        <f t="shared" ca="1" si="268"/>
        <v>-158000</v>
      </c>
      <c r="H96" s="30">
        <f t="shared" ca="1" si="268"/>
        <v>-158000</v>
      </c>
      <c r="I96" s="30">
        <f t="shared" ca="1" si="268"/>
        <v>-158000</v>
      </c>
      <c r="J96" s="30">
        <f t="shared" ca="1" si="268"/>
        <v>-1208000</v>
      </c>
      <c r="K96" s="30">
        <f t="shared" ca="1" si="268"/>
        <v>-4358000</v>
      </c>
      <c r="L96" s="30">
        <f t="shared" ca="1" si="268"/>
        <v>-2018565.7165799495</v>
      </c>
      <c r="M96" s="30">
        <f t="shared" ca="1" si="268"/>
        <v>0</v>
      </c>
      <c r="N96" s="30">
        <f t="shared" ca="1" si="268"/>
        <v>0</v>
      </c>
      <c r="O96" s="30">
        <f t="shared" ca="1" si="268"/>
        <v>0</v>
      </c>
      <c r="P96" s="30">
        <f t="shared" ca="1" si="268"/>
        <v>0</v>
      </c>
      <c r="Q96" s="30">
        <f t="shared" ca="1" si="268"/>
        <v>0</v>
      </c>
      <c r="R96" s="30">
        <f t="shared" ca="1" si="268"/>
        <v>0</v>
      </c>
      <c r="S96" s="30">
        <f t="shared" ca="1" si="268"/>
        <v>0</v>
      </c>
      <c r="T96" s="30">
        <f t="shared" ca="1" si="268"/>
        <v>0</v>
      </c>
      <c r="U96" s="30">
        <f t="shared" ca="1" si="268"/>
        <v>0</v>
      </c>
      <c r="V96" s="30">
        <f t="shared" ca="1" si="268"/>
        <v>0</v>
      </c>
      <c r="W96" s="30">
        <f t="shared" ca="1" si="268"/>
        <v>0</v>
      </c>
      <c r="X96" s="30">
        <f t="shared" ca="1" si="268"/>
        <v>0</v>
      </c>
      <c r="Y96" s="30">
        <f t="shared" ca="1" si="268"/>
        <v>0</v>
      </c>
      <c r="Z96" s="30">
        <f t="shared" ca="1" si="268"/>
        <v>0</v>
      </c>
      <c r="AA96" s="30">
        <f t="shared" ca="1" si="268"/>
        <v>0</v>
      </c>
      <c r="AB96" s="30">
        <f t="shared" ca="1" si="268"/>
        <v>0</v>
      </c>
      <c r="AC96" s="30">
        <f t="shared" ca="1" si="268"/>
        <v>0</v>
      </c>
      <c r="AD96" s="30">
        <f t="shared" ca="1" si="268"/>
        <v>0</v>
      </c>
      <c r="AE96" s="30">
        <f t="shared" ca="1" si="268"/>
        <v>0</v>
      </c>
      <c r="AF96" s="30">
        <f t="shared" ca="1" si="268"/>
        <v>0</v>
      </c>
      <c r="AG96" s="30">
        <f t="shared" ca="1" si="268"/>
        <v>0</v>
      </c>
      <c r="AH96" s="30">
        <f t="shared" ca="1" si="268"/>
        <v>0</v>
      </c>
      <c r="AI96" s="30">
        <f t="shared" ref="AI96:BK96" ca="1" si="269">AI41</f>
        <v>0</v>
      </c>
      <c r="AJ96" s="30">
        <f t="shared" ca="1" si="269"/>
        <v>0</v>
      </c>
      <c r="AK96" s="30">
        <f t="shared" ca="1" si="269"/>
        <v>0</v>
      </c>
      <c r="AL96" s="30">
        <f t="shared" ca="1" si="269"/>
        <v>0</v>
      </c>
      <c r="AM96" s="30">
        <f t="shared" ca="1" si="269"/>
        <v>0</v>
      </c>
      <c r="AN96" s="30">
        <f t="shared" ca="1" si="269"/>
        <v>0</v>
      </c>
      <c r="AO96" s="30">
        <f t="shared" ca="1" si="269"/>
        <v>0</v>
      </c>
      <c r="AP96" s="30">
        <f t="shared" ca="1" si="269"/>
        <v>0</v>
      </c>
      <c r="AQ96" s="30">
        <f t="shared" ca="1" si="269"/>
        <v>0</v>
      </c>
      <c r="AR96" s="30">
        <f t="shared" ca="1" si="269"/>
        <v>0</v>
      </c>
      <c r="AS96" s="30">
        <f t="shared" ca="1" si="269"/>
        <v>0</v>
      </c>
      <c r="AT96" s="30">
        <f t="shared" ca="1" si="269"/>
        <v>0</v>
      </c>
      <c r="AU96" s="30">
        <f t="shared" ca="1" si="269"/>
        <v>0</v>
      </c>
      <c r="AV96" s="30">
        <f t="shared" ca="1" si="269"/>
        <v>0</v>
      </c>
      <c r="AW96" s="30">
        <f t="shared" ca="1" si="269"/>
        <v>0</v>
      </c>
      <c r="AX96" s="30">
        <f t="shared" ca="1" si="269"/>
        <v>0</v>
      </c>
      <c r="AY96" s="30">
        <f t="shared" ca="1" si="269"/>
        <v>0</v>
      </c>
      <c r="AZ96" s="30">
        <f t="shared" ca="1" si="269"/>
        <v>0</v>
      </c>
      <c r="BA96" s="30">
        <f t="shared" ca="1" si="269"/>
        <v>0</v>
      </c>
      <c r="BB96" s="30">
        <f t="shared" ca="1" si="269"/>
        <v>0</v>
      </c>
      <c r="BC96" s="30">
        <f t="shared" ca="1" si="269"/>
        <v>0</v>
      </c>
      <c r="BD96" s="30">
        <f t="shared" ca="1" si="269"/>
        <v>0</v>
      </c>
      <c r="BE96" s="30">
        <f t="shared" ca="1" si="269"/>
        <v>0</v>
      </c>
      <c r="BF96" s="30">
        <f t="shared" ca="1" si="269"/>
        <v>0</v>
      </c>
      <c r="BG96" s="30">
        <f t="shared" ca="1" si="269"/>
        <v>0</v>
      </c>
      <c r="BH96" s="30">
        <f t="shared" ca="1" si="269"/>
        <v>0</v>
      </c>
      <c r="BI96" s="30">
        <f t="shared" ca="1" si="269"/>
        <v>0</v>
      </c>
      <c r="BJ96" s="30">
        <f t="shared" ca="1" si="269"/>
        <v>0</v>
      </c>
      <c r="BK96" s="30">
        <f t="shared" ca="1" si="269"/>
        <v>0</v>
      </c>
    </row>
    <row r="97" spans="1:63">
      <c r="A97" t="s">
        <v>226</v>
      </c>
      <c r="B97" s="44"/>
      <c r="C97" s="30">
        <f t="shared" ref="C97:AH97" si="270">C71</f>
        <v>0</v>
      </c>
      <c r="D97" s="30">
        <f t="shared" si="270"/>
        <v>0</v>
      </c>
      <c r="E97" s="30">
        <f t="shared" si="270"/>
        <v>0</v>
      </c>
      <c r="F97" s="30">
        <f t="shared" si="270"/>
        <v>0</v>
      </c>
      <c r="G97" s="30">
        <f t="shared" si="270"/>
        <v>0</v>
      </c>
      <c r="H97" s="30">
        <f t="shared" si="270"/>
        <v>0</v>
      </c>
      <c r="I97" s="30">
        <f t="shared" si="270"/>
        <v>0</v>
      </c>
      <c r="J97" s="30">
        <f t="shared" si="270"/>
        <v>0</v>
      </c>
      <c r="K97" s="30">
        <f t="shared" si="270"/>
        <v>0</v>
      </c>
      <c r="L97" s="30">
        <f t="shared" si="270"/>
        <v>0</v>
      </c>
      <c r="M97" s="30">
        <f t="shared" si="270"/>
        <v>0</v>
      </c>
      <c r="N97" s="30">
        <f t="shared" si="270"/>
        <v>0</v>
      </c>
      <c r="O97" s="30">
        <f t="shared" si="270"/>
        <v>0</v>
      </c>
      <c r="P97" s="30">
        <f t="shared" si="270"/>
        <v>0</v>
      </c>
      <c r="Q97" s="30">
        <f t="shared" si="270"/>
        <v>0</v>
      </c>
      <c r="R97" s="30">
        <f t="shared" si="270"/>
        <v>0</v>
      </c>
      <c r="S97" s="30">
        <f t="shared" si="270"/>
        <v>0</v>
      </c>
      <c r="T97" s="30">
        <f t="shared" si="270"/>
        <v>0</v>
      </c>
      <c r="U97" s="30">
        <f t="shared" si="270"/>
        <v>0</v>
      </c>
      <c r="V97" s="30">
        <f t="shared" si="270"/>
        <v>16529.943932291666</v>
      </c>
      <c r="W97" s="30">
        <f t="shared" si="270"/>
        <v>33059.887864583332</v>
      </c>
      <c r="X97" s="30">
        <f t="shared" si="270"/>
        <v>49589.831796874976</v>
      </c>
      <c r="Y97" s="30">
        <f t="shared" si="270"/>
        <v>66119.775729166664</v>
      </c>
      <c r="Z97" s="30">
        <f t="shared" si="270"/>
        <v>82649.719661458308</v>
      </c>
      <c r="AA97" s="30">
        <f t="shared" si="270"/>
        <v>99179.66359375001</v>
      </c>
      <c r="AB97" s="30">
        <f t="shared" si="270"/>
        <v>119420.19201054671</v>
      </c>
      <c r="AC97" s="30">
        <f t="shared" si="270"/>
        <v>136480.21944062487</v>
      </c>
      <c r="AD97" s="30">
        <f t="shared" si="270"/>
        <v>153540.24687070301</v>
      </c>
      <c r="AE97" s="30">
        <f t="shared" si="270"/>
        <v>170600.27430078102</v>
      </c>
      <c r="AF97" s="30">
        <f t="shared" si="270"/>
        <v>187660.30173085921</v>
      </c>
      <c r="AG97" s="30">
        <f t="shared" si="270"/>
        <v>204720.32916093734</v>
      </c>
      <c r="AH97" s="30">
        <f t="shared" si="270"/>
        <v>0</v>
      </c>
      <c r="AI97" s="30">
        <f t="shared" ref="AI97:BK97" si="271">AI71</f>
        <v>0</v>
      </c>
      <c r="AJ97" s="30">
        <f t="shared" si="271"/>
        <v>0</v>
      </c>
      <c r="AK97" s="30">
        <f t="shared" si="271"/>
        <v>0</v>
      </c>
      <c r="AL97" s="30">
        <f t="shared" si="271"/>
        <v>0</v>
      </c>
      <c r="AM97" s="30">
        <f t="shared" si="271"/>
        <v>0</v>
      </c>
      <c r="AN97" s="30">
        <f t="shared" si="271"/>
        <v>0</v>
      </c>
      <c r="AO97" s="30">
        <f t="shared" si="271"/>
        <v>0</v>
      </c>
      <c r="AP97" s="30">
        <f t="shared" si="271"/>
        <v>0</v>
      </c>
      <c r="AQ97" s="30">
        <f t="shared" si="271"/>
        <v>0</v>
      </c>
      <c r="AR97" s="30">
        <f t="shared" si="271"/>
        <v>0</v>
      </c>
      <c r="AS97" s="30">
        <f t="shared" si="271"/>
        <v>0</v>
      </c>
      <c r="AT97" s="30">
        <f t="shared" si="271"/>
        <v>0</v>
      </c>
      <c r="AU97" s="30">
        <f t="shared" si="271"/>
        <v>0</v>
      </c>
      <c r="AV97" s="30">
        <f t="shared" si="271"/>
        <v>0</v>
      </c>
      <c r="AW97" s="30">
        <f t="shared" si="271"/>
        <v>0</v>
      </c>
      <c r="AX97" s="30">
        <f t="shared" si="271"/>
        <v>0</v>
      </c>
      <c r="AY97" s="30">
        <f t="shared" si="271"/>
        <v>0</v>
      </c>
      <c r="AZ97" s="30">
        <f t="shared" si="271"/>
        <v>0</v>
      </c>
      <c r="BA97" s="30">
        <f t="shared" si="271"/>
        <v>0</v>
      </c>
      <c r="BB97" s="30">
        <f t="shared" si="271"/>
        <v>0</v>
      </c>
      <c r="BC97" s="30">
        <f t="shared" si="271"/>
        <v>0</v>
      </c>
      <c r="BD97" s="30">
        <f t="shared" si="271"/>
        <v>0</v>
      </c>
      <c r="BE97" s="30">
        <f t="shared" si="271"/>
        <v>0</v>
      </c>
      <c r="BF97" s="30">
        <f t="shared" si="271"/>
        <v>0</v>
      </c>
      <c r="BG97" s="30">
        <f t="shared" si="271"/>
        <v>0</v>
      </c>
      <c r="BH97" s="30">
        <f t="shared" si="271"/>
        <v>0</v>
      </c>
      <c r="BI97" s="30">
        <f t="shared" si="271"/>
        <v>0</v>
      </c>
      <c r="BJ97" s="30">
        <f t="shared" si="271"/>
        <v>0</v>
      </c>
      <c r="BK97" s="30">
        <f t="shared" si="271"/>
        <v>0</v>
      </c>
    </row>
    <row r="98" spans="1:63">
      <c r="A98" t="s">
        <v>237</v>
      </c>
      <c r="B98" s="44"/>
      <c r="C98" s="30">
        <f t="shared" ref="C98:AH98" si="272">C80</f>
        <v>0</v>
      </c>
      <c r="D98" s="30">
        <f t="shared" si="272"/>
        <v>0</v>
      </c>
      <c r="E98" s="30">
        <f t="shared" si="272"/>
        <v>0</v>
      </c>
      <c r="F98" s="30">
        <f t="shared" si="272"/>
        <v>0</v>
      </c>
      <c r="G98" s="30">
        <f t="shared" si="272"/>
        <v>0</v>
      </c>
      <c r="H98" s="30">
        <f t="shared" si="272"/>
        <v>0</v>
      </c>
      <c r="I98" s="30">
        <f t="shared" si="272"/>
        <v>0</v>
      </c>
      <c r="J98" s="30">
        <f t="shared" si="272"/>
        <v>0</v>
      </c>
      <c r="K98" s="30">
        <f t="shared" si="272"/>
        <v>0</v>
      </c>
      <c r="L98" s="30">
        <f t="shared" si="272"/>
        <v>0</v>
      </c>
      <c r="M98" s="30">
        <f t="shared" si="272"/>
        <v>0</v>
      </c>
      <c r="N98" s="30">
        <f t="shared" si="272"/>
        <v>0</v>
      </c>
      <c r="O98" s="30">
        <f t="shared" si="272"/>
        <v>0</v>
      </c>
      <c r="P98" s="30">
        <f t="shared" si="272"/>
        <v>0</v>
      </c>
      <c r="Q98" s="30">
        <f t="shared" si="272"/>
        <v>0</v>
      </c>
      <c r="R98" s="30">
        <f t="shared" si="272"/>
        <v>0</v>
      </c>
      <c r="S98" s="30">
        <f t="shared" si="272"/>
        <v>0</v>
      </c>
      <c r="T98" s="30">
        <f t="shared" si="272"/>
        <v>0</v>
      </c>
      <c r="U98" s="30">
        <f t="shared" si="272"/>
        <v>0</v>
      </c>
      <c r="V98" s="30">
        <f t="shared" si="272"/>
        <v>0</v>
      </c>
      <c r="W98" s="30">
        <f t="shared" si="272"/>
        <v>0</v>
      </c>
      <c r="X98" s="30">
        <f t="shared" si="272"/>
        <v>0</v>
      </c>
      <c r="Y98" s="30">
        <f t="shared" si="272"/>
        <v>0</v>
      </c>
      <c r="Z98" s="30">
        <f t="shared" si="272"/>
        <v>0</v>
      </c>
      <c r="AA98" s="30">
        <f t="shared" si="272"/>
        <v>0</v>
      </c>
      <c r="AB98" s="30">
        <f t="shared" si="272"/>
        <v>0</v>
      </c>
      <c r="AC98" s="30">
        <f t="shared" si="272"/>
        <v>0</v>
      </c>
      <c r="AD98" s="30">
        <f t="shared" si="272"/>
        <v>0</v>
      </c>
      <c r="AE98" s="30">
        <f t="shared" si="272"/>
        <v>0</v>
      </c>
      <c r="AF98" s="30">
        <f t="shared" si="272"/>
        <v>0</v>
      </c>
      <c r="AG98" s="30">
        <f t="shared" si="272"/>
        <v>40986068.932559617</v>
      </c>
      <c r="AH98" s="30">
        <f t="shared" si="272"/>
        <v>0</v>
      </c>
      <c r="AI98" s="30">
        <f t="shared" ref="AI98:BK98" si="273">AI80</f>
        <v>0</v>
      </c>
      <c r="AJ98" s="30">
        <f t="shared" si="273"/>
        <v>0</v>
      </c>
      <c r="AK98" s="30">
        <f t="shared" si="273"/>
        <v>0</v>
      </c>
      <c r="AL98" s="30">
        <f t="shared" si="273"/>
        <v>0</v>
      </c>
      <c r="AM98" s="30">
        <f t="shared" si="273"/>
        <v>0</v>
      </c>
      <c r="AN98" s="30">
        <f t="shared" si="273"/>
        <v>0</v>
      </c>
      <c r="AO98" s="30">
        <f t="shared" si="273"/>
        <v>0</v>
      </c>
      <c r="AP98" s="30">
        <f t="shared" si="273"/>
        <v>0</v>
      </c>
      <c r="AQ98" s="30">
        <f t="shared" si="273"/>
        <v>0</v>
      </c>
      <c r="AR98" s="30">
        <f t="shared" si="273"/>
        <v>0</v>
      </c>
      <c r="AS98" s="30">
        <f t="shared" si="273"/>
        <v>0</v>
      </c>
      <c r="AT98" s="30">
        <f t="shared" si="273"/>
        <v>0</v>
      </c>
      <c r="AU98" s="30">
        <f t="shared" si="273"/>
        <v>0</v>
      </c>
      <c r="AV98" s="30">
        <f t="shared" si="273"/>
        <v>0</v>
      </c>
      <c r="AW98" s="30">
        <f t="shared" si="273"/>
        <v>0</v>
      </c>
      <c r="AX98" s="30">
        <f t="shared" si="273"/>
        <v>0</v>
      </c>
      <c r="AY98" s="30">
        <f t="shared" si="273"/>
        <v>0</v>
      </c>
      <c r="AZ98" s="30">
        <f t="shared" si="273"/>
        <v>0</v>
      </c>
      <c r="BA98" s="30">
        <f t="shared" si="273"/>
        <v>0</v>
      </c>
      <c r="BB98" s="30">
        <f t="shared" si="273"/>
        <v>0</v>
      </c>
      <c r="BC98" s="30">
        <f t="shared" si="273"/>
        <v>0</v>
      </c>
      <c r="BD98" s="30">
        <f t="shared" si="273"/>
        <v>0</v>
      </c>
      <c r="BE98" s="30">
        <f t="shared" si="273"/>
        <v>0</v>
      </c>
      <c r="BF98" s="30">
        <f t="shared" si="273"/>
        <v>0</v>
      </c>
      <c r="BG98" s="30">
        <f t="shared" si="273"/>
        <v>0</v>
      </c>
      <c r="BH98" s="30">
        <f t="shared" si="273"/>
        <v>0</v>
      </c>
      <c r="BI98" s="30">
        <f t="shared" si="273"/>
        <v>0</v>
      </c>
      <c r="BJ98" s="30">
        <f t="shared" si="273"/>
        <v>0</v>
      </c>
      <c r="BK98" s="30">
        <f t="shared" si="273"/>
        <v>0</v>
      </c>
    </row>
    <row r="99" spans="1:63">
      <c r="A99" t="s">
        <v>246</v>
      </c>
      <c r="B99" s="44"/>
      <c r="C99" s="17">
        <f t="shared" ref="C99:AH99" si="274">SUMIF(C65,"=1",C49)</f>
        <v>0</v>
      </c>
      <c r="D99" s="17">
        <f t="shared" si="274"/>
        <v>0</v>
      </c>
      <c r="E99" s="17">
        <f t="shared" si="274"/>
        <v>0</v>
      </c>
      <c r="F99" s="17">
        <f t="shared" si="274"/>
        <v>0</v>
      </c>
      <c r="G99" s="17">
        <f t="shared" si="274"/>
        <v>0</v>
      </c>
      <c r="H99" s="17">
        <f t="shared" si="274"/>
        <v>0</v>
      </c>
      <c r="I99" s="17">
        <f t="shared" si="274"/>
        <v>0</v>
      </c>
      <c r="J99" s="17">
        <f t="shared" si="274"/>
        <v>0</v>
      </c>
      <c r="K99" s="17">
        <f t="shared" si="274"/>
        <v>0</v>
      </c>
      <c r="L99" s="17">
        <f t="shared" si="274"/>
        <v>0</v>
      </c>
      <c r="M99" s="17">
        <f t="shared" si="274"/>
        <v>0</v>
      </c>
      <c r="N99" s="17">
        <f t="shared" si="274"/>
        <v>0</v>
      </c>
      <c r="O99" s="17">
        <f t="shared" si="274"/>
        <v>0</v>
      </c>
      <c r="P99" s="17">
        <f t="shared" si="274"/>
        <v>0</v>
      </c>
      <c r="Q99" s="17">
        <f t="shared" si="274"/>
        <v>0</v>
      </c>
      <c r="R99" s="17">
        <f t="shared" si="274"/>
        <v>0</v>
      </c>
      <c r="S99" s="17">
        <f t="shared" si="274"/>
        <v>0</v>
      </c>
      <c r="T99" s="17">
        <f t="shared" si="274"/>
        <v>0</v>
      </c>
      <c r="U99" s="17">
        <f t="shared" si="274"/>
        <v>0</v>
      </c>
      <c r="V99" s="17">
        <f t="shared" si="274"/>
        <v>0</v>
      </c>
      <c r="W99" s="17">
        <f t="shared" si="274"/>
        <v>0</v>
      </c>
      <c r="X99" s="17">
        <f t="shared" si="274"/>
        <v>0</v>
      </c>
      <c r="Y99" s="17">
        <f t="shared" si="274"/>
        <v>0</v>
      </c>
      <c r="Z99" s="17">
        <f t="shared" si="274"/>
        <v>0</v>
      </c>
      <c r="AA99" s="17">
        <f t="shared" si="274"/>
        <v>0</v>
      </c>
      <c r="AB99" s="17">
        <f t="shared" si="274"/>
        <v>0</v>
      </c>
      <c r="AC99" s="17">
        <f t="shared" si="274"/>
        <v>0</v>
      </c>
      <c r="AD99" s="17">
        <f t="shared" si="274"/>
        <v>0</v>
      </c>
      <c r="AE99" s="17">
        <f t="shared" si="274"/>
        <v>0</v>
      </c>
      <c r="AF99" s="17">
        <f t="shared" si="274"/>
        <v>0</v>
      </c>
      <c r="AG99" s="17">
        <f t="shared" si="274"/>
        <v>0</v>
      </c>
      <c r="AH99" s="17">
        <f t="shared" si="274"/>
        <v>0</v>
      </c>
      <c r="AI99" s="17">
        <f t="shared" ref="AI99:BB99" si="275">SUMIF(AI65,"=1",AI49)</f>
        <v>0</v>
      </c>
      <c r="AJ99" s="17">
        <f t="shared" si="275"/>
        <v>0</v>
      </c>
      <c r="AK99" s="17">
        <f t="shared" si="275"/>
        <v>0</v>
      </c>
      <c r="AL99" s="17">
        <f t="shared" si="275"/>
        <v>0</v>
      </c>
      <c r="AM99" s="17">
        <f t="shared" si="275"/>
        <v>0</v>
      </c>
      <c r="AN99" s="17">
        <f t="shared" si="275"/>
        <v>0</v>
      </c>
      <c r="AO99" s="17">
        <f t="shared" si="275"/>
        <v>0</v>
      </c>
      <c r="AP99" s="17">
        <f t="shared" si="275"/>
        <v>0</v>
      </c>
      <c r="AQ99" s="17">
        <f t="shared" si="275"/>
        <v>0</v>
      </c>
      <c r="AR99" s="17">
        <f t="shared" si="275"/>
        <v>0</v>
      </c>
      <c r="AS99" s="17">
        <f t="shared" si="275"/>
        <v>0</v>
      </c>
      <c r="AT99" s="17">
        <f t="shared" si="275"/>
        <v>0</v>
      </c>
      <c r="AU99" s="17">
        <f t="shared" si="275"/>
        <v>0</v>
      </c>
      <c r="AV99" s="17">
        <f t="shared" si="275"/>
        <v>0</v>
      </c>
      <c r="AW99" s="17">
        <f t="shared" si="275"/>
        <v>0</v>
      </c>
      <c r="AX99" s="17">
        <f t="shared" si="275"/>
        <v>0</v>
      </c>
      <c r="AY99" s="17">
        <f t="shared" si="275"/>
        <v>0</v>
      </c>
      <c r="AZ99" s="17">
        <f t="shared" si="275"/>
        <v>0</v>
      </c>
      <c r="BA99" s="17">
        <f t="shared" si="275"/>
        <v>0</v>
      </c>
      <c r="BB99" s="17">
        <f t="shared" si="275"/>
        <v>0</v>
      </c>
      <c r="BC99" s="17">
        <f t="shared" ref="BC99:BK99" ca="1" si="276">IF(BC65=0,0,IF(BC72=BC46,0,BC49))</f>
        <v>0</v>
      </c>
      <c r="BD99" s="17">
        <f t="shared" ca="1" si="276"/>
        <v>0</v>
      </c>
      <c r="BE99" s="17">
        <f t="shared" ca="1" si="276"/>
        <v>0</v>
      </c>
      <c r="BF99" s="17">
        <f t="shared" ca="1" si="276"/>
        <v>0</v>
      </c>
      <c r="BG99" s="17">
        <f t="shared" ca="1" si="276"/>
        <v>0</v>
      </c>
      <c r="BH99" s="17">
        <f t="shared" ca="1" si="276"/>
        <v>0</v>
      </c>
      <c r="BI99" s="17">
        <f t="shared" ca="1" si="276"/>
        <v>0</v>
      </c>
      <c r="BJ99" s="17">
        <f t="shared" ca="1" si="276"/>
        <v>0</v>
      </c>
      <c r="BK99" s="17">
        <f t="shared" ca="1" si="276"/>
        <v>0</v>
      </c>
    </row>
    <row r="100" spans="1:63">
      <c r="A100" t="s">
        <v>247</v>
      </c>
      <c r="B100" s="31">
        <f>Inputs!K96</f>
        <v>30</v>
      </c>
      <c r="C100" s="17">
        <f t="shared" ref="C100:AH100" si="277">IF(C8=$B$100,$B$60,0)</f>
        <v>0</v>
      </c>
      <c r="D100" s="17">
        <f t="shared" si="277"/>
        <v>0</v>
      </c>
      <c r="E100" s="17">
        <f t="shared" si="277"/>
        <v>0</v>
      </c>
      <c r="F100" s="17">
        <f t="shared" si="277"/>
        <v>0</v>
      </c>
      <c r="G100" s="17">
        <f t="shared" si="277"/>
        <v>0</v>
      </c>
      <c r="H100" s="17">
        <f t="shared" si="277"/>
        <v>0</v>
      </c>
      <c r="I100" s="17">
        <f t="shared" si="277"/>
        <v>0</v>
      </c>
      <c r="J100" s="17">
        <f t="shared" si="277"/>
        <v>0</v>
      </c>
      <c r="K100" s="17">
        <f t="shared" si="277"/>
        <v>0</v>
      </c>
      <c r="L100" s="17">
        <f t="shared" si="277"/>
        <v>0</v>
      </c>
      <c r="M100" s="17">
        <f t="shared" si="277"/>
        <v>0</v>
      </c>
      <c r="N100" s="17">
        <f t="shared" si="277"/>
        <v>0</v>
      </c>
      <c r="O100" s="17">
        <f t="shared" si="277"/>
        <v>0</v>
      </c>
      <c r="P100" s="17">
        <f t="shared" si="277"/>
        <v>0</v>
      </c>
      <c r="Q100" s="17">
        <f t="shared" si="277"/>
        <v>0</v>
      </c>
      <c r="R100" s="17">
        <f t="shared" si="277"/>
        <v>0</v>
      </c>
      <c r="S100" s="17">
        <f t="shared" si="277"/>
        <v>0</v>
      </c>
      <c r="T100" s="17">
        <f t="shared" si="277"/>
        <v>0</v>
      </c>
      <c r="U100" s="17">
        <f t="shared" si="277"/>
        <v>0</v>
      </c>
      <c r="V100" s="17">
        <f t="shared" si="277"/>
        <v>0</v>
      </c>
      <c r="W100" s="17">
        <f t="shared" si="277"/>
        <v>0</v>
      </c>
      <c r="X100" s="17">
        <f t="shared" si="277"/>
        <v>0</v>
      </c>
      <c r="Y100" s="17">
        <f t="shared" si="277"/>
        <v>0</v>
      </c>
      <c r="Z100" s="17">
        <f t="shared" si="277"/>
        <v>0</v>
      </c>
      <c r="AA100" s="17">
        <f t="shared" si="277"/>
        <v>0</v>
      </c>
      <c r="AB100" s="17">
        <f t="shared" si="277"/>
        <v>0</v>
      </c>
      <c r="AC100" s="17">
        <f t="shared" si="277"/>
        <v>0</v>
      </c>
      <c r="AD100" s="17">
        <f t="shared" si="277"/>
        <v>0</v>
      </c>
      <c r="AE100" s="17">
        <f t="shared" si="277"/>
        <v>0</v>
      </c>
      <c r="AF100" s="17">
        <f t="shared" si="277"/>
        <v>0</v>
      </c>
      <c r="AG100" s="17">
        <f t="shared" ca="1" si="277"/>
        <v>-3.8914028208615354</v>
      </c>
      <c r="AH100" s="17">
        <f t="shared" si="277"/>
        <v>0</v>
      </c>
      <c r="AI100" s="17">
        <f t="shared" ref="AI100:BK100" si="278">IF(AI8=$B$100,$B$60,0)</f>
        <v>0</v>
      </c>
      <c r="AJ100" s="17">
        <f t="shared" si="278"/>
        <v>0</v>
      </c>
      <c r="AK100" s="17">
        <f t="shared" si="278"/>
        <v>0</v>
      </c>
      <c r="AL100" s="17">
        <f t="shared" si="278"/>
        <v>0</v>
      </c>
      <c r="AM100" s="17">
        <f t="shared" si="278"/>
        <v>0</v>
      </c>
      <c r="AN100" s="17">
        <f t="shared" si="278"/>
        <v>0</v>
      </c>
      <c r="AO100" s="17">
        <f t="shared" si="278"/>
        <v>0</v>
      </c>
      <c r="AP100" s="17">
        <f t="shared" si="278"/>
        <v>0</v>
      </c>
      <c r="AQ100" s="17">
        <f t="shared" si="278"/>
        <v>0</v>
      </c>
      <c r="AR100" s="17">
        <f t="shared" si="278"/>
        <v>0</v>
      </c>
      <c r="AS100" s="17">
        <f t="shared" si="278"/>
        <v>0</v>
      </c>
      <c r="AT100" s="17">
        <f t="shared" si="278"/>
        <v>0</v>
      </c>
      <c r="AU100" s="17">
        <f t="shared" si="278"/>
        <v>0</v>
      </c>
      <c r="AV100" s="17">
        <f t="shared" si="278"/>
        <v>0</v>
      </c>
      <c r="AW100" s="17">
        <f t="shared" si="278"/>
        <v>0</v>
      </c>
      <c r="AX100" s="17">
        <f t="shared" si="278"/>
        <v>0</v>
      </c>
      <c r="AY100" s="17">
        <f t="shared" si="278"/>
        <v>0</v>
      </c>
      <c r="AZ100" s="17">
        <f t="shared" si="278"/>
        <v>0</v>
      </c>
      <c r="BA100" s="17">
        <f t="shared" si="278"/>
        <v>0</v>
      </c>
      <c r="BB100" s="17">
        <f t="shared" si="278"/>
        <v>0</v>
      </c>
      <c r="BC100" s="17">
        <f t="shared" si="278"/>
        <v>0</v>
      </c>
      <c r="BD100" s="17">
        <f t="shared" si="278"/>
        <v>0</v>
      </c>
      <c r="BE100" s="17">
        <f t="shared" si="278"/>
        <v>0</v>
      </c>
      <c r="BF100" s="17">
        <f t="shared" si="278"/>
        <v>0</v>
      </c>
      <c r="BG100" s="17">
        <f t="shared" si="278"/>
        <v>0</v>
      </c>
      <c r="BH100" s="17">
        <f t="shared" si="278"/>
        <v>0</v>
      </c>
      <c r="BI100" s="17">
        <f t="shared" si="278"/>
        <v>0</v>
      </c>
      <c r="BJ100" s="17">
        <f t="shared" si="278"/>
        <v>0</v>
      </c>
      <c r="BK100" s="17">
        <f t="shared" si="278"/>
        <v>0</v>
      </c>
    </row>
    <row r="101" spans="1:63">
      <c r="A101" t="s">
        <v>248</v>
      </c>
      <c r="B101" s="31">
        <f>Inputs!K96</f>
        <v>30</v>
      </c>
      <c r="C101" s="17">
        <f>IF(C8=$B$101,SUM($C46:C$46),0)</f>
        <v>0</v>
      </c>
      <c r="D101" s="17">
        <f>IF(D8=$B$101,SUM($C46:D$46),0)</f>
        <v>0</v>
      </c>
      <c r="E101" s="17">
        <f>IF(E8=$B$101,SUM($C46:E$46),0)</f>
        <v>0</v>
      </c>
      <c r="F101" s="17">
        <f>IF(F8=$B$101,SUM($C46:F$46),0)</f>
        <v>0</v>
      </c>
      <c r="G101" s="17">
        <f>IF(G8=$B$101,SUM($C46:G$46),0)</f>
        <v>0</v>
      </c>
      <c r="H101" s="17">
        <f>IF(H8=$B$101,SUM($C46:H$46),0)</f>
        <v>0</v>
      </c>
      <c r="I101" s="17">
        <f>IF(I8=$B$101,SUM($C46:I$46),0)</f>
        <v>0</v>
      </c>
      <c r="J101" s="17">
        <f>IF(J8=$B$101,SUM($C46:J$46),0)</f>
        <v>0</v>
      </c>
      <c r="K101" s="17">
        <f>IF(K8=$B$101,SUM($C46:K$46),0)</f>
        <v>0</v>
      </c>
      <c r="L101" s="17">
        <f>IF(L8=$B$101,SUM($C46:L$46),0)</f>
        <v>0</v>
      </c>
      <c r="M101" s="17">
        <f>IF(M8=$B$101,SUM($C46:M$46),0)</f>
        <v>0</v>
      </c>
      <c r="N101" s="17">
        <f>IF(N8=$B$101,SUM($C46:N$46),0)</f>
        <v>0</v>
      </c>
      <c r="O101" s="17">
        <f>IF(O8=$B$101,SUM($C46:O$46),0)</f>
        <v>0</v>
      </c>
      <c r="P101" s="17">
        <f>IF(P8=$B$101,SUM($C46:P$46),0)</f>
        <v>0</v>
      </c>
      <c r="Q101" s="17">
        <f>IF(Q8=$B$101,SUM($C46:Q$46),0)</f>
        <v>0</v>
      </c>
      <c r="R101" s="17">
        <f>IF(R8=$B$101,SUM($C46:R$46),0)</f>
        <v>0</v>
      </c>
      <c r="S101" s="17">
        <f>IF(S8=$B$101,SUM($C46:S$46),0)</f>
        <v>0</v>
      </c>
      <c r="T101" s="17">
        <f>IF(T8=$B$101,SUM($C46:T$46),0)</f>
        <v>0</v>
      </c>
      <c r="U101" s="17">
        <f>IF(U8=$B$101,SUM($C46:U$46),0)</f>
        <v>0</v>
      </c>
      <c r="V101" s="17">
        <f>IF(V8=$B$101,SUM($C46:V$46),0)</f>
        <v>0</v>
      </c>
      <c r="W101" s="17">
        <f>IF(W8=$B$101,SUM($C46:W$46),0)</f>
        <v>0</v>
      </c>
      <c r="X101" s="17">
        <f>IF(X8=$B$101,SUM($C46:X$46),0)</f>
        <v>0</v>
      </c>
      <c r="Y101" s="17">
        <f>IF(Y8=$B$101,SUM($C46:Y$46),0)</f>
        <v>0</v>
      </c>
      <c r="Z101" s="17">
        <f>IF(Z8=$B$101,SUM($C46:Z$46),0)</f>
        <v>0</v>
      </c>
      <c r="AA101" s="17">
        <f>IF(AA8=$B$101,SUM($C46:AA$46),0)</f>
        <v>0</v>
      </c>
      <c r="AB101" s="17">
        <f>IF(AB8=$B$101,SUM($C46:AB$46),0)</f>
        <v>0</v>
      </c>
      <c r="AC101" s="17">
        <f>IF(AC8=$B$101,SUM($C46:AC$46),0)</f>
        <v>0</v>
      </c>
      <c r="AD101" s="17">
        <f>IF(AD8=$B$101,SUM($C46:AD$46),0)</f>
        <v>0</v>
      </c>
      <c r="AE101" s="17">
        <f>IF(AE8=$B$101,SUM($C46:AE$46),0)</f>
        <v>0</v>
      </c>
      <c r="AF101" s="17">
        <f>IF(AF8=$B$101,SUM($C46:AF$46),0)</f>
        <v>0</v>
      </c>
      <c r="AG101" s="17">
        <f ca="1">IF(AG8=$B$101,SUM($C46:AG$46),0)</f>
        <v>-20848574.907444134</v>
      </c>
      <c r="AH101" s="17">
        <f>IF(AH8=$B$101,SUM($C46:AH$46),0)</f>
        <v>0</v>
      </c>
      <c r="AI101" s="17">
        <f>IF(AI8=$B$101,SUM($C46:AI$46),0)</f>
        <v>0</v>
      </c>
      <c r="AJ101" s="17">
        <f>IF(AJ8=$B$101,SUM($C46:AJ$46),0)</f>
        <v>0</v>
      </c>
      <c r="AK101" s="17">
        <f>IF(AK8=$B$101,SUM($C46:AK$46),0)</f>
        <v>0</v>
      </c>
      <c r="AL101" s="17">
        <f>IF(AL8=$B$101,SUM($C46:AL$46),0)</f>
        <v>0</v>
      </c>
      <c r="AM101" s="17">
        <f>IF(AM8=$B$101,SUM($C46:AM$46),0)</f>
        <v>0</v>
      </c>
      <c r="AN101" s="17">
        <f>IF(AN8=$B$101,SUM($C46:AN$46),0)</f>
        <v>0</v>
      </c>
      <c r="AO101" s="17">
        <f>IF(AO8=$B$101,SUM($C46:AO$46),0)</f>
        <v>0</v>
      </c>
      <c r="AP101" s="17">
        <f>IF(AP8=$B$101,SUM($C46:AP$46),0)</f>
        <v>0</v>
      </c>
      <c r="AQ101" s="17">
        <f>IF(AQ8=$B$101,SUM($C46:AQ$46),0)</f>
        <v>0</v>
      </c>
      <c r="AR101" s="17">
        <f>IF(AR8=$B$101,SUM($C46:AR$46),0)</f>
        <v>0</v>
      </c>
      <c r="AS101" s="17">
        <f>IF(AS8=$B$101,SUM($C46:AS$46),0)</f>
        <v>0</v>
      </c>
      <c r="AT101" s="17">
        <f>IF(AT8=$B$101,SUM($C46:AT$46),0)</f>
        <v>0</v>
      </c>
      <c r="AU101" s="17">
        <f>IF(AU8=$B$101,SUM($C46:AU$46),0)</f>
        <v>0</v>
      </c>
      <c r="AV101" s="17">
        <f>IF(AV8=$B$101,SUM($C46:AV$46),0)</f>
        <v>0</v>
      </c>
      <c r="AW101" s="17">
        <f>IF(AW8=$B$101,SUM($C46:AW$46),0)</f>
        <v>0</v>
      </c>
      <c r="AX101" s="17">
        <f>IF(AX8=$B$101,SUM($C46:AX$46),0)</f>
        <v>0</v>
      </c>
      <c r="AY101" s="17">
        <f>IF(AY8=$B$101,SUM($C46:AY$46),0)</f>
        <v>0</v>
      </c>
      <c r="AZ101" s="17">
        <f>IF(AZ8=$B$101,SUM($C46:AZ$46),0)</f>
        <v>0</v>
      </c>
      <c r="BA101" s="17">
        <f>IF(BA8=$B$101,SUM($C46:BA$46),0)</f>
        <v>0</v>
      </c>
      <c r="BB101" s="17">
        <f>IF(BB8=$B$101,SUM($C46:BB$46),0)</f>
        <v>0</v>
      </c>
      <c r="BC101" s="17">
        <f>IF(BC8=$B$101,SUM($C46:BC$46),0)</f>
        <v>0</v>
      </c>
      <c r="BD101" s="17">
        <f>IF(BD8=$B$101,SUM($C46:BD$46),0)</f>
        <v>0</v>
      </c>
      <c r="BE101" s="17">
        <f>IF(BE8=$B$101,SUM($C46:BE$46),0)</f>
        <v>0</v>
      </c>
      <c r="BF101" s="17">
        <f>IF(BF8=$B$101,SUM($C46:BF$46),0)</f>
        <v>0</v>
      </c>
      <c r="BG101" s="17">
        <f>IF(BG8=$B$101,SUM($C46:BG$46),0)</f>
        <v>0</v>
      </c>
      <c r="BH101" s="17">
        <f>IF(BH8=$B$101,SUM($C46:BH$46),0)</f>
        <v>0</v>
      </c>
      <c r="BI101" s="17">
        <f>IF(BI8=$B$101,SUM($C46:BI$46),0)</f>
        <v>0</v>
      </c>
      <c r="BJ101" s="17">
        <f>IF(BJ8=$B$101,SUM($C46:BJ$46),0)</f>
        <v>0</v>
      </c>
      <c r="BK101" s="17">
        <f>IF(BK8=$B$101,SUM($C46:BK$46),0)</f>
        <v>0</v>
      </c>
    </row>
    <row r="102" spans="1:63">
      <c r="A102" s="52" t="s">
        <v>249</v>
      </c>
      <c r="B102" s="37"/>
      <c r="C102" s="38">
        <f ca="1">SUM(C96:C101)</f>
        <v>-5366485.786974377</v>
      </c>
      <c r="D102" s="38">
        <f t="shared" ref="D102:BK102" ca="1" si="279">SUM(D96:D101)</f>
        <v>-158000</v>
      </c>
      <c r="E102" s="38">
        <f t="shared" ca="1" si="279"/>
        <v>-158000</v>
      </c>
      <c r="F102" s="38">
        <f t="shared" ca="1" si="279"/>
        <v>-158000</v>
      </c>
      <c r="G102" s="38">
        <f t="shared" ca="1" si="279"/>
        <v>-158000</v>
      </c>
      <c r="H102" s="38">
        <f t="shared" ca="1" si="279"/>
        <v>-158000</v>
      </c>
      <c r="I102" s="38">
        <f t="shared" ca="1" si="279"/>
        <v>-158000</v>
      </c>
      <c r="J102" s="38">
        <f t="shared" ca="1" si="279"/>
        <v>-1208000</v>
      </c>
      <c r="K102" s="38">
        <f t="shared" ca="1" si="279"/>
        <v>-4358000</v>
      </c>
      <c r="L102" s="38">
        <f t="shared" ca="1" si="279"/>
        <v>-2018565.7165799495</v>
      </c>
      <c r="M102" s="38">
        <f t="shared" ca="1" si="279"/>
        <v>0</v>
      </c>
      <c r="N102" s="38">
        <f t="shared" ca="1" si="279"/>
        <v>0</v>
      </c>
      <c r="O102" s="38">
        <f t="shared" ca="1" si="279"/>
        <v>0</v>
      </c>
      <c r="P102" s="38">
        <f t="shared" ca="1" si="279"/>
        <v>0</v>
      </c>
      <c r="Q102" s="38">
        <f t="shared" ca="1" si="279"/>
        <v>0</v>
      </c>
      <c r="R102" s="38">
        <f t="shared" ca="1" si="279"/>
        <v>0</v>
      </c>
      <c r="S102" s="38">
        <f t="shared" ca="1" si="279"/>
        <v>0</v>
      </c>
      <c r="T102" s="38">
        <f t="shared" ca="1" si="279"/>
        <v>0</v>
      </c>
      <c r="U102" s="38">
        <f t="shared" ca="1" si="279"/>
        <v>0</v>
      </c>
      <c r="V102" s="38">
        <f t="shared" ca="1" si="279"/>
        <v>16529.943932291666</v>
      </c>
      <c r="W102" s="38">
        <f t="shared" ca="1" si="279"/>
        <v>33059.887864583332</v>
      </c>
      <c r="X102" s="38">
        <f t="shared" ca="1" si="279"/>
        <v>49589.831796874976</v>
      </c>
      <c r="Y102" s="38">
        <f t="shared" ca="1" si="279"/>
        <v>66119.775729166664</v>
      </c>
      <c r="Z102" s="38">
        <f t="shared" ca="1" si="279"/>
        <v>82649.719661458308</v>
      </c>
      <c r="AA102" s="38">
        <f t="shared" ca="1" si="279"/>
        <v>99179.66359375001</v>
      </c>
      <c r="AB102" s="38">
        <f t="shared" ca="1" si="279"/>
        <v>119420.19201054671</v>
      </c>
      <c r="AC102" s="38">
        <f t="shared" ca="1" si="279"/>
        <v>136480.21944062487</v>
      </c>
      <c r="AD102" s="38">
        <f t="shared" ca="1" si="279"/>
        <v>153540.24687070301</v>
      </c>
      <c r="AE102" s="38">
        <f t="shared" ca="1" si="279"/>
        <v>170600.27430078102</v>
      </c>
      <c r="AF102" s="38">
        <f t="shared" ca="1" si="279"/>
        <v>187660.30173085921</v>
      </c>
      <c r="AG102" s="38">
        <f t="shared" ca="1" si="279"/>
        <v>20342210.4628736</v>
      </c>
      <c r="AH102" s="38">
        <f t="shared" ca="1" si="279"/>
        <v>0</v>
      </c>
      <c r="AI102" s="38">
        <f t="shared" ca="1" si="279"/>
        <v>0</v>
      </c>
      <c r="AJ102" s="38">
        <f t="shared" ca="1" si="279"/>
        <v>0</v>
      </c>
      <c r="AK102" s="38">
        <f t="shared" ca="1" si="279"/>
        <v>0</v>
      </c>
      <c r="AL102" s="38">
        <f t="shared" ca="1" si="279"/>
        <v>0</v>
      </c>
      <c r="AM102" s="38">
        <f t="shared" ca="1" si="279"/>
        <v>0</v>
      </c>
      <c r="AN102" s="38">
        <f t="shared" ca="1" si="279"/>
        <v>0</v>
      </c>
      <c r="AO102" s="38">
        <f t="shared" ca="1" si="279"/>
        <v>0</v>
      </c>
      <c r="AP102" s="38">
        <f t="shared" ca="1" si="279"/>
        <v>0</v>
      </c>
      <c r="AQ102" s="38">
        <f t="shared" ca="1" si="279"/>
        <v>0</v>
      </c>
      <c r="AR102" s="38">
        <f t="shared" ca="1" si="279"/>
        <v>0</v>
      </c>
      <c r="AS102" s="38">
        <f t="shared" ca="1" si="279"/>
        <v>0</v>
      </c>
      <c r="AT102" s="38">
        <f t="shared" ca="1" si="279"/>
        <v>0</v>
      </c>
      <c r="AU102" s="38">
        <f t="shared" ca="1" si="279"/>
        <v>0</v>
      </c>
      <c r="AV102" s="38">
        <f t="shared" ca="1" si="279"/>
        <v>0</v>
      </c>
      <c r="AW102" s="38">
        <f t="shared" ca="1" si="279"/>
        <v>0</v>
      </c>
      <c r="AX102" s="38">
        <f t="shared" ca="1" si="279"/>
        <v>0</v>
      </c>
      <c r="AY102" s="38">
        <f t="shared" ca="1" si="279"/>
        <v>0</v>
      </c>
      <c r="AZ102" s="38">
        <f t="shared" ca="1" si="279"/>
        <v>0</v>
      </c>
      <c r="BA102" s="38">
        <f t="shared" ca="1" si="279"/>
        <v>0</v>
      </c>
      <c r="BB102" s="38">
        <f t="shared" ca="1" si="279"/>
        <v>0</v>
      </c>
      <c r="BC102" s="38">
        <f t="shared" ca="1" si="279"/>
        <v>0</v>
      </c>
      <c r="BD102" s="38">
        <f t="shared" ca="1" si="279"/>
        <v>0</v>
      </c>
      <c r="BE102" s="38">
        <f t="shared" ca="1" si="279"/>
        <v>0</v>
      </c>
      <c r="BF102" s="38">
        <f t="shared" ca="1" si="279"/>
        <v>0</v>
      </c>
      <c r="BG102" s="38">
        <f t="shared" ca="1" si="279"/>
        <v>0</v>
      </c>
      <c r="BH102" s="38">
        <f t="shared" ca="1" si="279"/>
        <v>0</v>
      </c>
      <c r="BI102" s="38">
        <f t="shared" ca="1" si="279"/>
        <v>0</v>
      </c>
      <c r="BJ102" s="38">
        <f t="shared" ca="1" si="279"/>
        <v>0</v>
      </c>
      <c r="BK102" s="38">
        <f t="shared" ca="1" si="279"/>
        <v>0</v>
      </c>
    </row>
    <row r="104" spans="1:63">
      <c r="A104" s="10" t="s">
        <v>180</v>
      </c>
      <c r="B104" s="1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</row>
    <row r="105" spans="1:63">
      <c r="A105" s="39" t="s">
        <v>181</v>
      </c>
      <c r="B105" s="40">
        <f ca="1">XIRR(C102:BK102, $C$7:$BK$7)</f>
        <v>0.22957487702369692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</row>
    <row r="106" spans="1:63">
      <c r="A106" s="41" t="s">
        <v>178</v>
      </c>
      <c r="B106" s="42">
        <f ca="1">SUMIF(C102:BK102, "&gt;0")/-SUMIF(C102:BK102, "&lt;0")</f>
        <v>1.5437773228135856</v>
      </c>
    </row>
    <row r="107" spans="1:63">
      <c r="A107" s="43" t="s">
        <v>179</v>
      </c>
      <c r="B107" s="45">
        <f ca="1">SUM(C102:BK102)</f>
        <v>7557989.0162509102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8EA7-66D6-48FC-BC17-399E39EE3D43}">
  <sheetPr>
    <tabColor theme="4" tint="0.79998168889431442"/>
  </sheetPr>
  <dimension ref="A5:BK107"/>
  <sheetViews>
    <sheetView showGridLines="0" zoomScale="80" zoomScaleNormal="80" workbookViewId="0">
      <selection sqref="A1:A4"/>
    </sheetView>
  </sheetViews>
  <sheetFormatPr baseColWidth="10" defaultColWidth="8.83203125" defaultRowHeight="15"/>
  <cols>
    <col min="1" max="1" width="42" bestFit="1" customWidth="1"/>
    <col min="2" max="2" width="14.5" bestFit="1" customWidth="1"/>
    <col min="3" max="3" width="13" bestFit="1" customWidth="1"/>
    <col min="4" max="10" width="12.5" bestFit="1" customWidth="1"/>
    <col min="11" max="11" width="13" bestFit="1" customWidth="1"/>
    <col min="12" max="63" width="12.5" bestFit="1" customWidth="1"/>
  </cols>
  <sheetData>
    <row r="5" spans="1:63" s="50" customFormat="1" ht="19">
      <c r="A5" s="371" t="s">
        <v>250</v>
      </c>
    </row>
    <row r="6" spans="1:63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</row>
    <row r="7" spans="1:63">
      <c r="A7" t="s">
        <v>188</v>
      </c>
      <c r="C7" s="4">
        <f>Inputs!J87</f>
        <v>45292</v>
      </c>
      <c r="D7" s="4">
        <f>EOMONTH(C7, 0)+1</f>
        <v>45323</v>
      </c>
      <c r="E7" s="4">
        <f t="shared" ref="E7:BK7" si="0">EOMONTH(D7, 0)+1</f>
        <v>45352</v>
      </c>
      <c r="F7" s="4">
        <f t="shared" si="0"/>
        <v>45383</v>
      </c>
      <c r="G7" s="4">
        <f t="shared" si="0"/>
        <v>45413</v>
      </c>
      <c r="H7" s="4">
        <f t="shared" si="0"/>
        <v>45444</v>
      </c>
      <c r="I7" s="4">
        <f t="shared" si="0"/>
        <v>45474</v>
      </c>
      <c r="J7" s="4">
        <f t="shared" si="0"/>
        <v>45505</v>
      </c>
      <c r="K7" s="4">
        <f t="shared" si="0"/>
        <v>45536</v>
      </c>
      <c r="L7" s="4">
        <f t="shared" si="0"/>
        <v>45566</v>
      </c>
      <c r="M7" s="4">
        <f t="shared" si="0"/>
        <v>45597</v>
      </c>
      <c r="N7" s="4">
        <f t="shared" si="0"/>
        <v>45627</v>
      </c>
      <c r="O7" s="4">
        <f t="shared" si="0"/>
        <v>45658</v>
      </c>
      <c r="P7" s="4">
        <f t="shared" si="0"/>
        <v>45689</v>
      </c>
      <c r="Q7" s="4">
        <f t="shared" si="0"/>
        <v>45717</v>
      </c>
      <c r="R7" s="4">
        <f t="shared" si="0"/>
        <v>45748</v>
      </c>
      <c r="S7" s="4">
        <f t="shared" si="0"/>
        <v>45778</v>
      </c>
      <c r="T7" s="4">
        <f t="shared" si="0"/>
        <v>45809</v>
      </c>
      <c r="U7" s="4">
        <f t="shared" si="0"/>
        <v>45839</v>
      </c>
      <c r="V7" s="4">
        <f t="shared" si="0"/>
        <v>45870</v>
      </c>
      <c r="W7" s="4">
        <f t="shared" si="0"/>
        <v>45901</v>
      </c>
      <c r="X7" s="4">
        <f t="shared" si="0"/>
        <v>45931</v>
      </c>
      <c r="Y7" s="4">
        <f t="shared" si="0"/>
        <v>45962</v>
      </c>
      <c r="Z7" s="4">
        <f t="shared" si="0"/>
        <v>45992</v>
      </c>
      <c r="AA7" s="4">
        <f t="shared" si="0"/>
        <v>46023</v>
      </c>
      <c r="AB7" s="4">
        <f t="shared" si="0"/>
        <v>46054</v>
      </c>
      <c r="AC7" s="4">
        <f t="shared" si="0"/>
        <v>46082</v>
      </c>
      <c r="AD7" s="4">
        <f t="shared" si="0"/>
        <v>46113</v>
      </c>
      <c r="AE7" s="4">
        <f t="shared" si="0"/>
        <v>46143</v>
      </c>
      <c r="AF7" s="4">
        <f t="shared" si="0"/>
        <v>46174</v>
      </c>
      <c r="AG7" s="4">
        <f t="shared" si="0"/>
        <v>46204</v>
      </c>
      <c r="AH7" s="4">
        <f t="shared" si="0"/>
        <v>46235</v>
      </c>
      <c r="AI7" s="4">
        <f t="shared" si="0"/>
        <v>46266</v>
      </c>
      <c r="AJ7" s="4">
        <f t="shared" si="0"/>
        <v>46296</v>
      </c>
      <c r="AK7" s="4">
        <f t="shared" si="0"/>
        <v>46327</v>
      </c>
      <c r="AL7" s="4">
        <f t="shared" si="0"/>
        <v>46357</v>
      </c>
      <c r="AM7" s="4">
        <f t="shared" si="0"/>
        <v>46388</v>
      </c>
      <c r="AN7" s="4">
        <f t="shared" si="0"/>
        <v>46419</v>
      </c>
      <c r="AO7" s="4">
        <f t="shared" si="0"/>
        <v>46447</v>
      </c>
      <c r="AP7" s="4">
        <f t="shared" si="0"/>
        <v>46478</v>
      </c>
      <c r="AQ7" s="4">
        <f t="shared" si="0"/>
        <v>46508</v>
      </c>
      <c r="AR7" s="4">
        <f t="shared" si="0"/>
        <v>46539</v>
      </c>
      <c r="AS7" s="4">
        <f t="shared" si="0"/>
        <v>46569</v>
      </c>
      <c r="AT7" s="4">
        <f t="shared" si="0"/>
        <v>46600</v>
      </c>
      <c r="AU7" s="4">
        <f t="shared" si="0"/>
        <v>46631</v>
      </c>
      <c r="AV7" s="4">
        <f t="shared" si="0"/>
        <v>46661</v>
      </c>
      <c r="AW7" s="4">
        <f t="shared" si="0"/>
        <v>46692</v>
      </c>
      <c r="AX7" s="4">
        <f t="shared" si="0"/>
        <v>46722</v>
      </c>
      <c r="AY7" s="4">
        <f t="shared" si="0"/>
        <v>46753</v>
      </c>
      <c r="AZ7" s="4">
        <f t="shared" si="0"/>
        <v>46784</v>
      </c>
      <c r="BA7" s="4">
        <f t="shared" si="0"/>
        <v>46813</v>
      </c>
      <c r="BB7" s="4">
        <f t="shared" si="0"/>
        <v>46844</v>
      </c>
      <c r="BC7" s="4">
        <f t="shared" si="0"/>
        <v>46874</v>
      </c>
      <c r="BD7" s="4">
        <f t="shared" si="0"/>
        <v>46905</v>
      </c>
      <c r="BE7" s="4">
        <f t="shared" si="0"/>
        <v>46935</v>
      </c>
      <c r="BF7" s="4">
        <f t="shared" si="0"/>
        <v>46966</v>
      </c>
      <c r="BG7" s="4">
        <f t="shared" si="0"/>
        <v>46997</v>
      </c>
      <c r="BH7" s="4">
        <f t="shared" si="0"/>
        <v>47027</v>
      </c>
      <c r="BI7" s="4">
        <f t="shared" si="0"/>
        <v>47058</v>
      </c>
      <c r="BJ7" s="4">
        <f t="shared" si="0"/>
        <v>47088</v>
      </c>
      <c r="BK7" s="4">
        <f t="shared" si="0"/>
        <v>47119</v>
      </c>
    </row>
    <row r="8" spans="1:63">
      <c r="A8" t="s">
        <v>166</v>
      </c>
      <c r="C8">
        <v>0</v>
      </c>
      <c r="D8">
        <f>C8+1</f>
        <v>1</v>
      </c>
      <c r="E8">
        <f t="shared" ref="E8:AK8" si="1">D8+1</f>
        <v>2</v>
      </c>
      <c r="F8">
        <f t="shared" si="1"/>
        <v>3</v>
      </c>
      <c r="G8">
        <f t="shared" si="1"/>
        <v>4</v>
      </c>
      <c r="H8">
        <f t="shared" si="1"/>
        <v>5</v>
      </c>
      <c r="I8">
        <f t="shared" si="1"/>
        <v>6</v>
      </c>
      <c r="J8">
        <f t="shared" si="1"/>
        <v>7</v>
      </c>
      <c r="K8">
        <f t="shared" si="1"/>
        <v>8</v>
      </c>
      <c r="L8">
        <f t="shared" si="1"/>
        <v>9</v>
      </c>
      <c r="M8">
        <f t="shared" si="1"/>
        <v>10</v>
      </c>
      <c r="N8">
        <f t="shared" si="1"/>
        <v>11</v>
      </c>
      <c r="O8">
        <f t="shared" si="1"/>
        <v>12</v>
      </c>
      <c r="P8">
        <f t="shared" si="1"/>
        <v>13</v>
      </c>
      <c r="Q8">
        <f t="shared" si="1"/>
        <v>14</v>
      </c>
      <c r="R8">
        <f t="shared" si="1"/>
        <v>15</v>
      </c>
      <c r="S8">
        <f t="shared" si="1"/>
        <v>16</v>
      </c>
      <c r="T8">
        <f t="shared" si="1"/>
        <v>17</v>
      </c>
      <c r="U8">
        <f t="shared" si="1"/>
        <v>18</v>
      </c>
      <c r="V8">
        <f t="shared" si="1"/>
        <v>19</v>
      </c>
      <c r="W8">
        <f t="shared" si="1"/>
        <v>20</v>
      </c>
      <c r="X8">
        <f t="shared" si="1"/>
        <v>21</v>
      </c>
      <c r="Y8">
        <f t="shared" si="1"/>
        <v>22</v>
      </c>
      <c r="Z8">
        <f t="shared" si="1"/>
        <v>23</v>
      </c>
      <c r="AA8">
        <f t="shared" si="1"/>
        <v>24</v>
      </c>
      <c r="AB8">
        <f t="shared" si="1"/>
        <v>25</v>
      </c>
      <c r="AC8">
        <f t="shared" si="1"/>
        <v>26</v>
      </c>
      <c r="AD8">
        <f t="shared" si="1"/>
        <v>27</v>
      </c>
      <c r="AE8">
        <f t="shared" si="1"/>
        <v>28</v>
      </c>
      <c r="AF8">
        <f t="shared" si="1"/>
        <v>29</v>
      </c>
      <c r="AG8">
        <f t="shared" si="1"/>
        <v>30</v>
      </c>
      <c r="AH8">
        <f t="shared" si="1"/>
        <v>31</v>
      </c>
      <c r="AI8">
        <f t="shared" si="1"/>
        <v>32</v>
      </c>
      <c r="AJ8">
        <f t="shared" si="1"/>
        <v>33</v>
      </c>
      <c r="AK8">
        <f t="shared" si="1"/>
        <v>34</v>
      </c>
      <c r="AL8">
        <f>AK8+1</f>
        <v>35</v>
      </c>
      <c r="AM8">
        <f t="shared" ref="AM8:BK8" si="2">AL8+1</f>
        <v>36</v>
      </c>
      <c r="AN8">
        <f t="shared" si="2"/>
        <v>37</v>
      </c>
      <c r="AO8">
        <f t="shared" si="2"/>
        <v>38</v>
      </c>
      <c r="AP8">
        <f t="shared" si="2"/>
        <v>39</v>
      </c>
      <c r="AQ8">
        <f t="shared" si="2"/>
        <v>40</v>
      </c>
      <c r="AR8">
        <f t="shared" si="2"/>
        <v>41</v>
      </c>
      <c r="AS8">
        <f t="shared" si="2"/>
        <v>42</v>
      </c>
      <c r="AT8">
        <f t="shared" si="2"/>
        <v>43</v>
      </c>
      <c r="AU8">
        <f t="shared" si="2"/>
        <v>44</v>
      </c>
      <c r="AV8">
        <f t="shared" si="2"/>
        <v>45</v>
      </c>
      <c r="AW8">
        <f t="shared" si="2"/>
        <v>46</v>
      </c>
      <c r="AX8">
        <f t="shared" si="2"/>
        <v>47</v>
      </c>
      <c r="AY8">
        <f t="shared" si="2"/>
        <v>48</v>
      </c>
      <c r="AZ8">
        <f t="shared" si="2"/>
        <v>49</v>
      </c>
      <c r="BA8">
        <f t="shared" si="2"/>
        <v>50</v>
      </c>
      <c r="BB8">
        <f t="shared" si="2"/>
        <v>51</v>
      </c>
      <c r="BC8">
        <f t="shared" si="2"/>
        <v>52</v>
      </c>
      <c r="BD8">
        <f t="shared" si="2"/>
        <v>53</v>
      </c>
      <c r="BE8">
        <f t="shared" si="2"/>
        <v>54</v>
      </c>
      <c r="BF8">
        <f t="shared" si="2"/>
        <v>55</v>
      </c>
      <c r="BG8">
        <f t="shared" si="2"/>
        <v>56</v>
      </c>
      <c r="BH8">
        <f t="shared" si="2"/>
        <v>57</v>
      </c>
      <c r="BI8">
        <f t="shared" si="2"/>
        <v>58</v>
      </c>
      <c r="BJ8">
        <f t="shared" si="2"/>
        <v>59</v>
      </c>
      <c r="BK8">
        <f t="shared" si="2"/>
        <v>60</v>
      </c>
    </row>
    <row r="9" spans="1:63">
      <c r="A9" t="s">
        <v>189</v>
      </c>
      <c r="C9">
        <f>YEAR(C7)</f>
        <v>2024</v>
      </c>
      <c r="D9">
        <f t="shared" ref="D9:BK9" si="3">YEAR(D7)</f>
        <v>2024</v>
      </c>
      <c r="E9">
        <f t="shared" si="3"/>
        <v>2024</v>
      </c>
      <c r="F9">
        <f t="shared" si="3"/>
        <v>2024</v>
      </c>
      <c r="G9">
        <f t="shared" si="3"/>
        <v>2024</v>
      </c>
      <c r="H9">
        <f t="shared" si="3"/>
        <v>2024</v>
      </c>
      <c r="I9">
        <f t="shared" si="3"/>
        <v>2024</v>
      </c>
      <c r="J9">
        <f t="shared" si="3"/>
        <v>2024</v>
      </c>
      <c r="K9">
        <f t="shared" si="3"/>
        <v>2024</v>
      </c>
      <c r="L9">
        <f t="shared" si="3"/>
        <v>2024</v>
      </c>
      <c r="M9">
        <f t="shared" si="3"/>
        <v>2024</v>
      </c>
      <c r="N9">
        <f t="shared" si="3"/>
        <v>2024</v>
      </c>
      <c r="O9">
        <f t="shared" si="3"/>
        <v>2025</v>
      </c>
      <c r="P9">
        <f t="shared" si="3"/>
        <v>2025</v>
      </c>
      <c r="Q9">
        <f t="shared" si="3"/>
        <v>2025</v>
      </c>
      <c r="R9">
        <f t="shared" si="3"/>
        <v>2025</v>
      </c>
      <c r="S9">
        <f t="shared" si="3"/>
        <v>2025</v>
      </c>
      <c r="T9">
        <f t="shared" si="3"/>
        <v>2025</v>
      </c>
      <c r="U9">
        <f t="shared" si="3"/>
        <v>2025</v>
      </c>
      <c r="V9">
        <f t="shared" si="3"/>
        <v>2025</v>
      </c>
      <c r="W9">
        <f t="shared" si="3"/>
        <v>2025</v>
      </c>
      <c r="X9">
        <f t="shared" si="3"/>
        <v>2025</v>
      </c>
      <c r="Y9">
        <f t="shared" si="3"/>
        <v>2025</v>
      </c>
      <c r="Z9">
        <f t="shared" si="3"/>
        <v>2025</v>
      </c>
      <c r="AA9">
        <f t="shared" si="3"/>
        <v>2026</v>
      </c>
      <c r="AB9">
        <f t="shared" si="3"/>
        <v>2026</v>
      </c>
      <c r="AC9">
        <f t="shared" si="3"/>
        <v>2026</v>
      </c>
      <c r="AD9">
        <f t="shared" si="3"/>
        <v>2026</v>
      </c>
      <c r="AE9">
        <f t="shared" si="3"/>
        <v>2026</v>
      </c>
      <c r="AF9">
        <f t="shared" si="3"/>
        <v>2026</v>
      </c>
      <c r="AG9">
        <f t="shared" si="3"/>
        <v>2026</v>
      </c>
      <c r="AH9">
        <f t="shared" si="3"/>
        <v>2026</v>
      </c>
      <c r="AI9">
        <f t="shared" si="3"/>
        <v>2026</v>
      </c>
      <c r="AJ9">
        <f t="shared" si="3"/>
        <v>2026</v>
      </c>
      <c r="AK9">
        <f t="shared" si="3"/>
        <v>2026</v>
      </c>
      <c r="AL9">
        <f t="shared" si="3"/>
        <v>2026</v>
      </c>
      <c r="AM9">
        <f t="shared" si="3"/>
        <v>2027</v>
      </c>
      <c r="AN9">
        <f t="shared" si="3"/>
        <v>2027</v>
      </c>
      <c r="AO9">
        <f t="shared" si="3"/>
        <v>2027</v>
      </c>
      <c r="AP9">
        <f t="shared" si="3"/>
        <v>2027</v>
      </c>
      <c r="AQ9">
        <f t="shared" si="3"/>
        <v>2027</v>
      </c>
      <c r="AR9">
        <f t="shared" si="3"/>
        <v>2027</v>
      </c>
      <c r="AS9">
        <f t="shared" si="3"/>
        <v>2027</v>
      </c>
      <c r="AT9">
        <f t="shared" si="3"/>
        <v>2027</v>
      </c>
      <c r="AU9">
        <f t="shared" si="3"/>
        <v>2027</v>
      </c>
      <c r="AV9">
        <f t="shared" si="3"/>
        <v>2027</v>
      </c>
      <c r="AW9">
        <f t="shared" si="3"/>
        <v>2027</v>
      </c>
      <c r="AX9">
        <f t="shared" si="3"/>
        <v>2027</v>
      </c>
      <c r="AY9">
        <f t="shared" si="3"/>
        <v>2028</v>
      </c>
      <c r="AZ9">
        <f t="shared" si="3"/>
        <v>2028</v>
      </c>
      <c r="BA9">
        <f t="shared" si="3"/>
        <v>2028</v>
      </c>
      <c r="BB9">
        <f t="shared" si="3"/>
        <v>2028</v>
      </c>
      <c r="BC9">
        <f t="shared" si="3"/>
        <v>2028</v>
      </c>
      <c r="BD9">
        <f t="shared" si="3"/>
        <v>2028</v>
      </c>
      <c r="BE9">
        <f t="shared" si="3"/>
        <v>2028</v>
      </c>
      <c r="BF9">
        <f t="shared" si="3"/>
        <v>2028</v>
      </c>
      <c r="BG9">
        <f t="shared" si="3"/>
        <v>2028</v>
      </c>
      <c r="BH9">
        <f t="shared" si="3"/>
        <v>2028</v>
      </c>
      <c r="BI9">
        <f t="shared" si="3"/>
        <v>2028</v>
      </c>
      <c r="BJ9">
        <f t="shared" si="3"/>
        <v>2028</v>
      </c>
      <c r="BK9">
        <f t="shared" si="3"/>
        <v>2029</v>
      </c>
    </row>
    <row r="10" spans="1:63">
      <c r="A10" t="s">
        <v>190</v>
      </c>
      <c r="C10">
        <v>1</v>
      </c>
      <c r="D10">
        <f t="shared" ref="D10:BK10" si="4">ROUNDUP(D8/12,0)</f>
        <v>1</v>
      </c>
      <c r="E10">
        <f t="shared" si="4"/>
        <v>1</v>
      </c>
      <c r="F10">
        <f t="shared" si="4"/>
        <v>1</v>
      </c>
      <c r="G10">
        <f t="shared" si="4"/>
        <v>1</v>
      </c>
      <c r="H10">
        <f t="shared" si="4"/>
        <v>1</v>
      </c>
      <c r="I10">
        <f t="shared" si="4"/>
        <v>1</v>
      </c>
      <c r="J10">
        <f t="shared" si="4"/>
        <v>1</v>
      </c>
      <c r="K10">
        <f t="shared" si="4"/>
        <v>1</v>
      </c>
      <c r="L10">
        <f t="shared" si="4"/>
        <v>1</v>
      </c>
      <c r="M10">
        <f t="shared" si="4"/>
        <v>1</v>
      </c>
      <c r="N10">
        <f t="shared" si="4"/>
        <v>1</v>
      </c>
      <c r="O10">
        <f t="shared" si="4"/>
        <v>1</v>
      </c>
      <c r="P10">
        <f t="shared" si="4"/>
        <v>2</v>
      </c>
      <c r="Q10">
        <f t="shared" si="4"/>
        <v>2</v>
      </c>
      <c r="R10">
        <f t="shared" si="4"/>
        <v>2</v>
      </c>
      <c r="S10">
        <f t="shared" si="4"/>
        <v>2</v>
      </c>
      <c r="T10">
        <f t="shared" si="4"/>
        <v>2</v>
      </c>
      <c r="U10">
        <f t="shared" si="4"/>
        <v>2</v>
      </c>
      <c r="V10">
        <f t="shared" si="4"/>
        <v>2</v>
      </c>
      <c r="W10">
        <f t="shared" si="4"/>
        <v>2</v>
      </c>
      <c r="X10">
        <f t="shared" si="4"/>
        <v>2</v>
      </c>
      <c r="Y10">
        <f t="shared" si="4"/>
        <v>2</v>
      </c>
      <c r="Z10">
        <f t="shared" si="4"/>
        <v>2</v>
      </c>
      <c r="AA10">
        <f t="shared" si="4"/>
        <v>2</v>
      </c>
      <c r="AB10">
        <f t="shared" si="4"/>
        <v>3</v>
      </c>
      <c r="AC10">
        <f t="shared" si="4"/>
        <v>3</v>
      </c>
      <c r="AD10">
        <f t="shared" si="4"/>
        <v>3</v>
      </c>
      <c r="AE10">
        <f t="shared" si="4"/>
        <v>3</v>
      </c>
      <c r="AF10">
        <f t="shared" si="4"/>
        <v>3</v>
      </c>
      <c r="AG10">
        <f t="shared" si="4"/>
        <v>3</v>
      </c>
      <c r="AH10">
        <f t="shared" si="4"/>
        <v>3</v>
      </c>
      <c r="AI10">
        <f t="shared" si="4"/>
        <v>3</v>
      </c>
      <c r="AJ10">
        <f t="shared" si="4"/>
        <v>3</v>
      </c>
      <c r="AK10">
        <f t="shared" si="4"/>
        <v>3</v>
      </c>
      <c r="AL10">
        <f t="shared" si="4"/>
        <v>3</v>
      </c>
      <c r="AM10">
        <f t="shared" si="4"/>
        <v>3</v>
      </c>
      <c r="AN10">
        <f t="shared" si="4"/>
        <v>4</v>
      </c>
      <c r="AO10">
        <f t="shared" si="4"/>
        <v>4</v>
      </c>
      <c r="AP10">
        <f t="shared" si="4"/>
        <v>4</v>
      </c>
      <c r="AQ10">
        <f t="shared" si="4"/>
        <v>4</v>
      </c>
      <c r="AR10">
        <f t="shared" si="4"/>
        <v>4</v>
      </c>
      <c r="AS10">
        <f t="shared" si="4"/>
        <v>4</v>
      </c>
      <c r="AT10">
        <f t="shared" si="4"/>
        <v>4</v>
      </c>
      <c r="AU10">
        <f t="shared" si="4"/>
        <v>4</v>
      </c>
      <c r="AV10">
        <f t="shared" si="4"/>
        <v>4</v>
      </c>
      <c r="AW10">
        <f t="shared" si="4"/>
        <v>4</v>
      </c>
      <c r="AX10">
        <f t="shared" si="4"/>
        <v>4</v>
      </c>
      <c r="AY10">
        <f t="shared" si="4"/>
        <v>4</v>
      </c>
      <c r="AZ10">
        <f t="shared" si="4"/>
        <v>5</v>
      </c>
      <c r="BA10">
        <f t="shared" si="4"/>
        <v>5</v>
      </c>
      <c r="BB10">
        <f t="shared" si="4"/>
        <v>5</v>
      </c>
      <c r="BC10">
        <f t="shared" si="4"/>
        <v>5</v>
      </c>
      <c r="BD10">
        <f t="shared" si="4"/>
        <v>5</v>
      </c>
      <c r="BE10">
        <f t="shared" si="4"/>
        <v>5</v>
      </c>
      <c r="BF10">
        <f t="shared" si="4"/>
        <v>5</v>
      </c>
      <c r="BG10">
        <f t="shared" si="4"/>
        <v>5</v>
      </c>
      <c r="BH10">
        <f t="shared" si="4"/>
        <v>5</v>
      </c>
      <c r="BI10">
        <f t="shared" si="4"/>
        <v>5</v>
      </c>
      <c r="BJ10">
        <f t="shared" si="4"/>
        <v>5</v>
      </c>
      <c r="BK10">
        <f t="shared" si="4"/>
        <v>5</v>
      </c>
    </row>
    <row r="12" spans="1:63">
      <c r="A12" s="373" t="s">
        <v>191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</row>
    <row r="13" spans="1:63">
      <c r="A13" s="10" t="s">
        <v>192</v>
      </c>
    </row>
    <row r="14" spans="1:63">
      <c r="A14" s="2" t="s">
        <v>193</v>
      </c>
      <c r="B14" s="2"/>
      <c r="C14" s="46">
        <f>-Inputs!R74</f>
        <v>-5000000</v>
      </c>
      <c r="D14" s="2"/>
      <c r="E14" s="2"/>
      <c r="F14" s="2"/>
      <c r="G14" s="2"/>
    </row>
    <row r="15" spans="1:63" s="5" customFormat="1">
      <c r="A15" s="5" t="s">
        <v>194</v>
      </c>
      <c r="B15"/>
      <c r="C15" s="19">
        <f t="shared" ref="C15:BK15" si="5">SUM(C14:C14)</f>
        <v>-5000000</v>
      </c>
      <c r="D15" s="19">
        <f t="shared" si="5"/>
        <v>0</v>
      </c>
      <c r="E15" s="19">
        <f t="shared" si="5"/>
        <v>0</v>
      </c>
      <c r="F15" s="19">
        <f t="shared" si="5"/>
        <v>0</v>
      </c>
      <c r="G15" s="19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18">
        <f t="shared" si="5"/>
        <v>0</v>
      </c>
      <c r="L15" s="18">
        <f t="shared" si="5"/>
        <v>0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 t="shared" si="5"/>
        <v>0</v>
      </c>
      <c r="Q15" s="18">
        <f t="shared" si="5"/>
        <v>0</v>
      </c>
      <c r="R15" s="18">
        <f t="shared" si="5"/>
        <v>0</v>
      </c>
      <c r="S15" s="18">
        <f t="shared" si="5"/>
        <v>0</v>
      </c>
      <c r="T15" s="18">
        <f t="shared" si="5"/>
        <v>0</v>
      </c>
      <c r="U15" s="18">
        <f t="shared" si="5"/>
        <v>0</v>
      </c>
      <c r="V15" s="18">
        <f t="shared" si="5"/>
        <v>0</v>
      </c>
      <c r="W15" s="18">
        <f t="shared" si="5"/>
        <v>0</v>
      </c>
      <c r="X15" s="18">
        <f t="shared" si="5"/>
        <v>0</v>
      </c>
      <c r="Y15" s="18">
        <f t="shared" si="5"/>
        <v>0</v>
      </c>
      <c r="Z15" s="18">
        <f t="shared" si="5"/>
        <v>0</v>
      </c>
      <c r="AA15" s="18">
        <f t="shared" si="5"/>
        <v>0</v>
      </c>
      <c r="AB15" s="18">
        <f t="shared" si="5"/>
        <v>0</v>
      </c>
      <c r="AC15" s="18">
        <f t="shared" si="5"/>
        <v>0</v>
      </c>
      <c r="AD15" s="18">
        <f t="shared" si="5"/>
        <v>0</v>
      </c>
      <c r="AE15" s="18">
        <f t="shared" si="5"/>
        <v>0</v>
      </c>
      <c r="AF15" s="18">
        <f t="shared" si="5"/>
        <v>0</v>
      </c>
      <c r="AG15" s="18">
        <f t="shared" si="5"/>
        <v>0</v>
      </c>
      <c r="AH15" s="18">
        <f t="shared" si="5"/>
        <v>0</v>
      </c>
      <c r="AI15" s="18">
        <f t="shared" si="5"/>
        <v>0</v>
      </c>
      <c r="AJ15" s="18">
        <f t="shared" si="5"/>
        <v>0</v>
      </c>
      <c r="AK15" s="18">
        <f t="shared" si="5"/>
        <v>0</v>
      </c>
      <c r="AL15" s="18">
        <f t="shared" si="5"/>
        <v>0</v>
      </c>
      <c r="AM15" s="18">
        <f t="shared" si="5"/>
        <v>0</v>
      </c>
      <c r="AN15" s="18">
        <f t="shared" si="5"/>
        <v>0</v>
      </c>
      <c r="AO15" s="18">
        <f t="shared" si="5"/>
        <v>0</v>
      </c>
      <c r="AP15" s="18">
        <f t="shared" si="5"/>
        <v>0</v>
      </c>
      <c r="AQ15" s="18">
        <f t="shared" si="5"/>
        <v>0</v>
      </c>
      <c r="AR15" s="18">
        <f t="shared" si="5"/>
        <v>0</v>
      </c>
      <c r="AS15" s="18">
        <f t="shared" si="5"/>
        <v>0</v>
      </c>
      <c r="AT15" s="18">
        <f t="shared" si="5"/>
        <v>0</v>
      </c>
      <c r="AU15" s="18">
        <f t="shared" si="5"/>
        <v>0</v>
      </c>
      <c r="AV15" s="18">
        <f t="shared" si="5"/>
        <v>0</v>
      </c>
      <c r="AW15" s="18">
        <f t="shared" si="5"/>
        <v>0</v>
      </c>
      <c r="AX15" s="18">
        <f t="shared" si="5"/>
        <v>0</v>
      </c>
      <c r="AY15" s="18">
        <f t="shared" si="5"/>
        <v>0</v>
      </c>
      <c r="AZ15" s="18">
        <f t="shared" si="5"/>
        <v>0</v>
      </c>
      <c r="BA15" s="18">
        <f t="shared" si="5"/>
        <v>0</v>
      </c>
      <c r="BB15" s="18">
        <f t="shared" si="5"/>
        <v>0</v>
      </c>
      <c r="BC15" s="18">
        <f t="shared" si="5"/>
        <v>0</v>
      </c>
      <c r="BD15" s="18">
        <f t="shared" si="5"/>
        <v>0</v>
      </c>
      <c r="BE15" s="18">
        <f t="shared" si="5"/>
        <v>0</v>
      </c>
      <c r="BF15" s="18">
        <f t="shared" si="5"/>
        <v>0</v>
      </c>
      <c r="BG15" s="18">
        <f t="shared" si="5"/>
        <v>0</v>
      </c>
      <c r="BH15" s="18">
        <f t="shared" si="5"/>
        <v>0</v>
      </c>
      <c r="BI15" s="18">
        <f t="shared" si="5"/>
        <v>0</v>
      </c>
      <c r="BJ15" s="18">
        <f t="shared" si="5"/>
        <v>0</v>
      </c>
      <c r="BK15" s="18">
        <f t="shared" si="5"/>
        <v>0</v>
      </c>
    </row>
    <row r="16" spans="1:63" s="5" customFormat="1">
      <c r="C16" s="19"/>
      <c r="D16" s="19"/>
      <c r="E16" s="19"/>
      <c r="F16" s="19"/>
      <c r="G16" s="19"/>
      <c r="H16" s="19"/>
      <c r="I16" s="19"/>
      <c r="J16" s="19"/>
      <c r="K16" s="4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s="5" customFormat="1">
      <c r="A17" s="5" t="s">
        <v>195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>
      <c r="A18" s="11" t="s">
        <v>196</v>
      </c>
      <c r="C18" s="58">
        <f>IF(C8=Inputs!$R$91,Inputs!$P$33,IF(AND(C8&gt;Inputs!$R$91,C8&lt;=Inputs!$R$92),(1-Inputs!$P$33)/(Inputs!$R$92-Inputs!$R$91),0))</f>
        <v>0</v>
      </c>
      <c r="D18" s="58">
        <f>IF(D8=Inputs!$R$91,Inputs!$P$33,IF(AND(D8&gt;Inputs!$R$91,D8&lt;=Inputs!$R$92),(1-Inputs!$P$33)/(Inputs!$R$92-Inputs!$R$91),0))</f>
        <v>0</v>
      </c>
      <c r="E18" s="58">
        <f>IF(E8=Inputs!$R$91,Inputs!$P$33,IF(AND(E8&gt;Inputs!$R$91,E8&lt;=Inputs!$R$92),(1-Inputs!$P$33)/(Inputs!$R$92-Inputs!$R$91),0))</f>
        <v>0</v>
      </c>
      <c r="F18" s="58">
        <f>IF(F8=Inputs!$R$91,Inputs!$P$33,IF(AND(F8&gt;Inputs!$R$91,F8&lt;=Inputs!$R$92),(1-Inputs!$P$33)/(Inputs!$R$92-Inputs!$R$91),0))</f>
        <v>0</v>
      </c>
      <c r="G18" s="58">
        <f>IF(G8=Inputs!$R$91,Inputs!$P$33,IF(AND(G8&gt;Inputs!$R$91,G8&lt;=Inputs!$R$92),(1-Inputs!$P$33)/(Inputs!$R$92-Inputs!$R$91),0))</f>
        <v>0</v>
      </c>
      <c r="H18" s="58">
        <f>IF(H8=Inputs!$R$91,Inputs!$P$33,IF(AND(H8&gt;Inputs!$R$91,H8&lt;=Inputs!$R$92),(1-Inputs!$P$33)/(Inputs!$R$92-Inputs!$R$91),0))</f>
        <v>0</v>
      </c>
      <c r="I18" s="58">
        <f>IF(I8=Inputs!$R$91,Inputs!$P$33,IF(AND(I8&gt;Inputs!$R$91,I8&lt;=Inputs!$R$92),(1-Inputs!$P$33)/(Inputs!$R$92-Inputs!$R$91),0))</f>
        <v>0</v>
      </c>
      <c r="J18" s="58">
        <f>IF(J8=Inputs!$R$91,Inputs!$P$33,IF(AND(J8&gt;Inputs!$R$91,J8&lt;=Inputs!$R$92),(1-Inputs!$P$33)/(Inputs!$R$92-Inputs!$R$91),0))</f>
        <v>0.25</v>
      </c>
      <c r="K18" s="58">
        <f>IF(K8=Inputs!$R$91,Inputs!$P$33,IF(AND(K8&gt;Inputs!$R$91,K8&lt;=Inputs!$R$92),(1-Inputs!$P$33)/(Inputs!$R$92-Inputs!$R$91),0))</f>
        <v>0</v>
      </c>
      <c r="L18" s="58">
        <f>IF(L8=Inputs!$R$91,Inputs!$P$33,IF(AND(L8&gt;Inputs!$R$91,L8&lt;=Inputs!$R$92),(1-Inputs!$P$33)/(Inputs!$R$92-Inputs!$R$91),0))</f>
        <v>0</v>
      </c>
      <c r="M18" s="58">
        <f>IF(M8=Inputs!$R$91,Inputs!$P$33,IF(AND(M8&gt;Inputs!$R$91,M8&lt;=Inputs!$R$92),(1-Inputs!$P$33)/(Inputs!$R$92-Inputs!$R$91),0))</f>
        <v>0</v>
      </c>
      <c r="N18" s="58">
        <f>IF(N8=Inputs!$R$91,Inputs!$P$33,IF(AND(N8&gt;Inputs!$R$91,N8&lt;=Inputs!$R$92),(1-Inputs!$P$33)/(Inputs!$R$92-Inputs!$R$91),0))</f>
        <v>0</v>
      </c>
      <c r="O18" s="58">
        <f>IF(O8=Inputs!$R$91,Inputs!$P$33,IF(AND(O8&gt;Inputs!$R$91,O8&lt;=Inputs!$R$92),(1-Inputs!$P$33)/(Inputs!$R$92-Inputs!$R$91),0))</f>
        <v>0</v>
      </c>
      <c r="P18" s="58">
        <f>IF(P8=Inputs!$R$91,Inputs!$P$33,IF(AND(P8&gt;Inputs!$R$91,P8&lt;=Inputs!$R$92),(1-Inputs!$P$33)/(Inputs!$R$92-Inputs!$R$91),0))</f>
        <v>0</v>
      </c>
      <c r="Q18" s="58">
        <f>IF(Q8=Inputs!$R$91,Inputs!$P$33,IF(AND(Q8&gt;Inputs!$R$91,Q8&lt;=Inputs!$R$92),(1-Inputs!$P$33)/(Inputs!$R$92-Inputs!$R$91),0))</f>
        <v>0</v>
      </c>
      <c r="R18" s="58">
        <f>IF(R8=Inputs!$R$91,Inputs!$P$33,IF(AND(R8&gt;Inputs!$R$91,R8&lt;=Inputs!$R$92),(1-Inputs!$P$33)/(Inputs!$R$92-Inputs!$R$91),0))</f>
        <v>0</v>
      </c>
      <c r="S18" s="58">
        <f>IF(S8=Inputs!$R$91,Inputs!$P$33,IF(AND(S8&gt;Inputs!$R$91,S8&lt;=Inputs!$R$92),(1-Inputs!$P$33)/(Inputs!$R$92-Inputs!$R$91),0))</f>
        <v>0</v>
      </c>
      <c r="T18" s="58">
        <f>IF(T8=Inputs!$R$91,Inputs!$P$33,IF(AND(T8&gt;Inputs!$R$91,T8&lt;=Inputs!$R$92),(1-Inputs!$P$33)/(Inputs!$R$92-Inputs!$R$91),0))</f>
        <v>0</v>
      </c>
      <c r="U18" s="58">
        <f>IF(U8=Inputs!$R$91,Inputs!$P$33,IF(AND(U8&gt;Inputs!$R$91,U8&lt;=Inputs!$R$92),(1-Inputs!$P$33)/(Inputs!$R$92-Inputs!$R$91),0))</f>
        <v>0</v>
      </c>
      <c r="V18" s="58">
        <f>IF(V8=Inputs!$R$91,Inputs!$P$33,IF(AND(V8&gt;Inputs!$R$91,V8&lt;=Inputs!$R$92),(1-Inputs!$P$33)/(Inputs!$R$92-Inputs!$R$91),0))</f>
        <v>0</v>
      </c>
      <c r="W18" s="58">
        <f>IF(W8=Inputs!$R$91,Inputs!$P$33,IF(AND(W8&gt;Inputs!$R$91,W8&lt;=Inputs!$R$92),(1-Inputs!$P$33)/(Inputs!$R$92-Inputs!$R$91),0))</f>
        <v>0</v>
      </c>
      <c r="X18" s="58">
        <f>IF(X8=Inputs!$R$91,Inputs!$P$33,IF(AND(X8&gt;Inputs!$R$91,X8&lt;=Inputs!$R$92),(1-Inputs!$P$33)/(Inputs!$R$92-Inputs!$R$91),0))</f>
        <v>0</v>
      </c>
      <c r="Y18" s="58">
        <f>IF(Y8=Inputs!$R$91,Inputs!$P$33,IF(AND(Y8&gt;Inputs!$R$91,Y8&lt;=Inputs!$R$92),(1-Inputs!$P$33)/(Inputs!$R$92-Inputs!$R$91),0))</f>
        <v>0</v>
      </c>
      <c r="Z18" s="58">
        <f>IF(Z8=Inputs!$R$91,Inputs!$P$33,IF(AND(Z8&gt;Inputs!$R$91,Z8&lt;=Inputs!$R$92),(1-Inputs!$P$33)/(Inputs!$R$92-Inputs!$R$91),0))</f>
        <v>0</v>
      </c>
      <c r="AA18" s="58">
        <f>IF(AA8=Inputs!$R$91,Inputs!$P$33,IF(AND(AA8&gt;Inputs!$R$91,AA8&lt;=Inputs!$R$92),(1-Inputs!$P$33)/(Inputs!$R$92-Inputs!$R$91),0))</f>
        <v>0</v>
      </c>
      <c r="AB18" s="58">
        <f>IF(AB8=Inputs!$R$91,Inputs!$P$33,IF(AND(AB8&gt;Inputs!$R$91,AB8&lt;=Inputs!$R$92),(1-Inputs!$P$33)/(Inputs!$R$92-Inputs!$R$91),0))</f>
        <v>0</v>
      </c>
      <c r="AC18" s="58">
        <f>IF(AC8=Inputs!$R$91,Inputs!$P$33,IF(AND(AC8&gt;Inputs!$R$91,AC8&lt;=Inputs!$R$92),(1-Inputs!$P$33)/(Inputs!$R$92-Inputs!$R$91),0))</f>
        <v>0</v>
      </c>
      <c r="AD18" s="58">
        <f>IF(AD8=Inputs!$R$91,Inputs!$P$33,IF(AND(AD8&gt;Inputs!$R$91,AD8&lt;=Inputs!$R$92),(1-Inputs!$P$33)/(Inputs!$R$92-Inputs!$R$91),0))</f>
        <v>0</v>
      </c>
      <c r="AE18" s="58">
        <f>IF(AE8=Inputs!$R$91,Inputs!$P$33,IF(AND(AE8&gt;Inputs!$R$91,AE8&lt;=Inputs!$R$92),(1-Inputs!$P$33)/(Inputs!$R$92-Inputs!$R$91),0))</f>
        <v>0</v>
      </c>
      <c r="AF18" s="58">
        <f>IF(AF8=Inputs!$R$91,Inputs!$P$33,IF(AND(AF8&gt;Inputs!$R$91,AF8&lt;=Inputs!$R$92),(1-Inputs!$P$33)/(Inputs!$R$92-Inputs!$R$91),0))</f>
        <v>0</v>
      </c>
      <c r="AG18" s="58">
        <f>IF(AG8=Inputs!$R$91,Inputs!$P$33,IF(AND(AG8&gt;Inputs!$R$91,AG8&lt;=Inputs!$R$92),(1-Inputs!$P$33)/(Inputs!$R$92-Inputs!$R$91),0))</f>
        <v>0</v>
      </c>
      <c r="AH18" s="58">
        <f>IF(AH8=Inputs!$R$91,Inputs!$P$33,IF(AND(AH8&gt;Inputs!$R$91,AH8&lt;=Inputs!$R$92),(1-Inputs!$P$33)/(Inputs!$R$92-Inputs!$R$91),0))</f>
        <v>0</v>
      </c>
      <c r="AI18" s="58">
        <f>IF(AI8=Inputs!$R$91,Inputs!$P$33,IF(AND(AI8&gt;Inputs!$R$91,AI8&lt;=Inputs!$R$92),(1-Inputs!$P$33)/(Inputs!$R$92-Inputs!$R$91),0))</f>
        <v>0</v>
      </c>
      <c r="AJ18" s="58">
        <f>IF(AJ8=Inputs!$R$91,Inputs!$P$33,IF(AND(AJ8&gt;Inputs!$R$91,AJ8&lt;=Inputs!$R$92),(1-Inputs!$P$33)/(Inputs!$R$92-Inputs!$R$91),0))</f>
        <v>0</v>
      </c>
      <c r="AK18" s="58">
        <f>IF(AK8=Inputs!$R$91,Inputs!$P$33,IF(AND(AK8&gt;Inputs!$R$91,AK8&lt;=Inputs!$R$92),(1-Inputs!$P$33)/(Inputs!$R$92-Inputs!$R$91),0))</f>
        <v>0</v>
      </c>
      <c r="AL18" s="58">
        <f>IF(AL8=Inputs!$R$91,Inputs!$P$33,IF(AND(AL8&gt;Inputs!$R$91,AL8&lt;=Inputs!$R$92),(1-Inputs!$P$33)/(Inputs!$R$92-Inputs!$R$91),0))</f>
        <v>0</v>
      </c>
      <c r="AM18" s="58">
        <f>IF(AM8=Inputs!$R$91,Inputs!$P$33,IF(AND(AM8&gt;Inputs!$R$91,AM8&lt;=Inputs!$R$92),(1-Inputs!$P$33)/(Inputs!$R$92-Inputs!$R$91),0))</f>
        <v>0</v>
      </c>
      <c r="AN18" s="58">
        <f>IF(AN8=Inputs!$R$91,Inputs!$P$33,IF(AND(AN8&gt;Inputs!$R$91,AN8&lt;=Inputs!$R$92),(1-Inputs!$P$33)/(Inputs!$R$92-Inputs!$R$91),0))</f>
        <v>0</v>
      </c>
      <c r="AO18" s="58">
        <f>IF(AO8=Inputs!$R$91,Inputs!$P$33,IF(AND(AO8&gt;Inputs!$R$91,AO8&lt;=Inputs!$R$92),(1-Inputs!$P$33)/(Inputs!$R$92-Inputs!$R$91),0))</f>
        <v>0</v>
      </c>
      <c r="AP18" s="58">
        <f>IF(AP8=Inputs!$R$91,Inputs!$P$33,IF(AND(AP8&gt;Inputs!$R$91,AP8&lt;=Inputs!$R$92),(1-Inputs!$P$33)/(Inputs!$R$92-Inputs!$R$91),0))</f>
        <v>0</v>
      </c>
      <c r="AQ18" s="58">
        <f>IF(AQ8=Inputs!$R$91,Inputs!$P$33,IF(AND(AQ8&gt;Inputs!$R$91,AQ8&lt;=Inputs!$R$92),(1-Inputs!$P$33)/(Inputs!$R$92-Inputs!$R$91),0))</f>
        <v>0</v>
      </c>
      <c r="AR18" s="58">
        <f>IF(AR8=Inputs!$R$91,Inputs!$P$33,IF(AND(AR8&gt;Inputs!$R$91,AR8&lt;=Inputs!$R$92),(1-Inputs!$P$33)/(Inputs!$R$92-Inputs!$R$91),0))</f>
        <v>0</v>
      </c>
      <c r="AS18" s="58">
        <f>IF(AS8=Inputs!$R$91,Inputs!$P$33,IF(AND(AS8&gt;Inputs!$R$91,AS8&lt;=Inputs!$R$92),(1-Inputs!$P$33)/(Inputs!$R$92-Inputs!$R$91),0))</f>
        <v>0</v>
      </c>
      <c r="AT18" s="58">
        <f>IF(AT8=Inputs!$R$91,Inputs!$P$33,IF(AND(AT8&gt;Inputs!$R$91,AT8&lt;=Inputs!$R$92),(1-Inputs!$P$33)/(Inputs!$R$92-Inputs!$R$91),0))</f>
        <v>0</v>
      </c>
      <c r="AU18" s="58">
        <f>IF(AU8=Inputs!$R$91,Inputs!$P$33,IF(AND(AU8&gt;Inputs!$R$91,AU8&lt;=Inputs!$R$92),(1-Inputs!$P$33)/(Inputs!$R$92-Inputs!$R$91),0))</f>
        <v>0</v>
      </c>
      <c r="AV18" s="58">
        <f>IF(AV8=Inputs!$R$91,Inputs!$P$33,IF(AND(AV8&gt;Inputs!$R$91,AV8&lt;=Inputs!$R$92),(1-Inputs!$P$33)/(Inputs!$R$92-Inputs!$R$91),0))</f>
        <v>0</v>
      </c>
      <c r="AW18" s="58">
        <f>IF(AW8=Inputs!$R$91,Inputs!$P$33,IF(AND(AW8&gt;Inputs!$R$91,AW8&lt;=Inputs!$R$92),(1-Inputs!$P$33)/(Inputs!$R$92-Inputs!$R$91),0))</f>
        <v>0</v>
      </c>
      <c r="AX18" s="58">
        <f>IF(AX8=Inputs!$R$91,Inputs!$P$33,IF(AND(AX8&gt;Inputs!$R$91,AX8&lt;=Inputs!$R$92),(1-Inputs!$P$33)/(Inputs!$R$92-Inputs!$R$91),0))</f>
        <v>0</v>
      </c>
      <c r="AY18" s="58">
        <f>IF(AY8=Inputs!$R$91,Inputs!$P$33,IF(AND(AY8&gt;Inputs!$R$91,AY8&lt;=Inputs!$R$92),(1-Inputs!$P$33)/(Inputs!$R$92-Inputs!$R$91),0))</f>
        <v>0</v>
      </c>
      <c r="AZ18" s="58">
        <f>IF(AZ8=Inputs!$R$91,Inputs!$P$33,IF(AND(AZ8&gt;Inputs!$R$91,AZ8&lt;=Inputs!$R$92),(1-Inputs!$P$33)/(Inputs!$R$92-Inputs!$R$91),0))</f>
        <v>0</v>
      </c>
      <c r="BA18" s="58">
        <f>IF(BA8=Inputs!$R$91,Inputs!$P$33,IF(AND(BA8&gt;Inputs!$R$91,BA8&lt;=Inputs!$R$92),(1-Inputs!$P$33)/(Inputs!$R$92-Inputs!$R$91),0))</f>
        <v>0</v>
      </c>
      <c r="BB18" s="58">
        <f>IF(BB8=Inputs!$R$91,Inputs!$P$33,IF(AND(BB8&gt;Inputs!$R$91,BB8&lt;=Inputs!$R$92),(1-Inputs!$P$33)/(Inputs!$R$92-Inputs!$R$91),0))</f>
        <v>0</v>
      </c>
      <c r="BC18" s="58">
        <f>IF(BC8=Inputs!$R$91,Inputs!$P$33,IF(AND(BC8&gt;Inputs!$R$91,BC8&lt;=Inputs!$R$92),(1-Inputs!$P$33)/(Inputs!$R$92-Inputs!$R$91),0))</f>
        <v>0</v>
      </c>
      <c r="BD18" s="58">
        <f>IF(BD8=Inputs!$R$91,Inputs!$P$33,IF(AND(BD8&gt;Inputs!$R$91,BD8&lt;=Inputs!$R$92),(1-Inputs!$P$33)/(Inputs!$R$92-Inputs!$R$91),0))</f>
        <v>0</v>
      </c>
      <c r="BE18" s="58">
        <f>IF(BE8=Inputs!$R$91,Inputs!$P$33,IF(AND(BE8&gt;Inputs!$R$91,BE8&lt;=Inputs!$R$92),(1-Inputs!$P$33)/(Inputs!$R$92-Inputs!$R$91),0))</f>
        <v>0</v>
      </c>
      <c r="BF18" s="58">
        <f>IF(BF8=Inputs!$R$91,Inputs!$P$33,IF(AND(BF8&gt;Inputs!$R$91,BF8&lt;=Inputs!$R$92),(1-Inputs!$P$33)/(Inputs!$R$92-Inputs!$R$91),0))</f>
        <v>0</v>
      </c>
      <c r="BG18" s="58">
        <f>IF(BG8=Inputs!$R$91,Inputs!$P$33,IF(AND(BG8&gt;Inputs!$R$91,BG8&lt;=Inputs!$R$92),(1-Inputs!$P$33)/(Inputs!$R$92-Inputs!$R$91),0))</f>
        <v>0</v>
      </c>
      <c r="BH18" s="58">
        <f>IF(BH8=Inputs!$R$91,Inputs!$P$33,IF(AND(BH8&gt;Inputs!$R$91,BH8&lt;=Inputs!$R$92),(1-Inputs!$P$33)/(Inputs!$R$92-Inputs!$R$91),0))</f>
        <v>0</v>
      </c>
      <c r="BI18" s="58">
        <f>IF(BI8=Inputs!$R$91,Inputs!$P$33,IF(AND(BI8&gt;Inputs!$R$91,BI8&lt;=Inputs!$R$92),(1-Inputs!$P$33)/(Inputs!$R$92-Inputs!$R$91),0))</f>
        <v>0</v>
      </c>
      <c r="BJ18" s="58">
        <f>IF(BJ8=Inputs!$R$91,Inputs!$P$33,IF(AND(BJ8&gt;Inputs!$R$91,BJ8&lt;=Inputs!$R$92),(1-Inputs!$P$33)/(Inputs!$R$92-Inputs!$R$91),0))</f>
        <v>0</v>
      </c>
      <c r="BK18" s="58">
        <f>IF(BK8=Inputs!$R$91,Inputs!$P$33,IF(AND(BK8&gt;Inputs!$R$91,BK8&lt;=Inputs!$R$92),(1-Inputs!$P$33)/(Inputs!$R$92-Inputs!$R$91),0))</f>
        <v>0</v>
      </c>
    </row>
    <row r="19" spans="1:63">
      <c r="A19" s="11" t="s">
        <v>197</v>
      </c>
      <c r="C19" s="59">
        <f>-C18*Inputs!$R$33</f>
        <v>0</v>
      </c>
      <c r="D19" s="59">
        <f>-D18*Inputs!$R$33</f>
        <v>0</v>
      </c>
      <c r="E19" s="59">
        <f>-E18*Inputs!$R$33</f>
        <v>0</v>
      </c>
      <c r="F19" s="59">
        <f>-F18*Inputs!$R$33</f>
        <v>0</v>
      </c>
      <c r="G19" s="59">
        <f>-G18*Inputs!$R$33</f>
        <v>0</v>
      </c>
      <c r="H19" s="59">
        <f>-H18*Inputs!$R$33</f>
        <v>0</v>
      </c>
      <c r="I19" s="59">
        <f>-I18*Inputs!$R$33</f>
        <v>0</v>
      </c>
      <c r="J19" s="59">
        <f>-J18*Inputs!$R$33</f>
        <v>0</v>
      </c>
      <c r="K19" s="59">
        <f>-K18*Inputs!$R$33</f>
        <v>0</v>
      </c>
      <c r="L19" s="59">
        <f>-L18*Inputs!$R$33</f>
        <v>0</v>
      </c>
      <c r="M19" s="59">
        <f>-M18*Inputs!$R$33</f>
        <v>0</v>
      </c>
      <c r="N19" s="59">
        <f>-N18*Inputs!$R$33</f>
        <v>0</v>
      </c>
      <c r="O19" s="59">
        <f>-O18*Inputs!$R$33</f>
        <v>0</v>
      </c>
      <c r="P19" s="59">
        <f>-P18*Inputs!$R$33</f>
        <v>0</v>
      </c>
      <c r="Q19" s="59">
        <f>-Q18*Inputs!$R$33</f>
        <v>0</v>
      </c>
      <c r="R19" s="59">
        <f>-R18*Inputs!$R$33</f>
        <v>0</v>
      </c>
      <c r="S19" s="59">
        <f>-S18*Inputs!$R$33</f>
        <v>0</v>
      </c>
      <c r="T19" s="59">
        <f>-T18*Inputs!$R$33</f>
        <v>0</v>
      </c>
      <c r="U19" s="59">
        <f>-U18*Inputs!$R$33</f>
        <v>0</v>
      </c>
      <c r="V19" s="59">
        <f>-V18*Inputs!$R$33</f>
        <v>0</v>
      </c>
      <c r="W19" s="59">
        <f>-W18*Inputs!$R$33</f>
        <v>0</v>
      </c>
      <c r="X19" s="59">
        <f>-X18*Inputs!$R$33</f>
        <v>0</v>
      </c>
      <c r="Y19" s="59">
        <f>-Y18*Inputs!$R$33</f>
        <v>0</v>
      </c>
      <c r="Z19" s="59">
        <f>-Z18*Inputs!$R$33</f>
        <v>0</v>
      </c>
      <c r="AA19" s="59">
        <f>-AA18*Inputs!$R$33</f>
        <v>0</v>
      </c>
      <c r="AB19" s="59">
        <f>-AB18*Inputs!$R$33</f>
        <v>0</v>
      </c>
      <c r="AC19" s="59">
        <f>-AC18*Inputs!$R$33</f>
        <v>0</v>
      </c>
      <c r="AD19" s="59">
        <f>-AD18*Inputs!$R$33</f>
        <v>0</v>
      </c>
      <c r="AE19" s="59">
        <f>-AE18*Inputs!$R$33</f>
        <v>0</v>
      </c>
      <c r="AF19" s="59">
        <f>-AF18*Inputs!$R$33</f>
        <v>0</v>
      </c>
      <c r="AG19" s="59">
        <f>-AG18*Inputs!$R$33</f>
        <v>0</v>
      </c>
      <c r="AH19" s="59">
        <f>-AH18*Inputs!$R$33</f>
        <v>0</v>
      </c>
      <c r="AI19" s="59">
        <f>-AI18*Inputs!$R$33</f>
        <v>0</v>
      </c>
      <c r="AJ19" s="59">
        <f>-AJ18*Inputs!$R$33</f>
        <v>0</v>
      </c>
      <c r="AK19" s="59">
        <f>-AK18*Inputs!$R$33</f>
        <v>0</v>
      </c>
      <c r="AL19" s="59">
        <f>-AL18*Inputs!$R$33</f>
        <v>0</v>
      </c>
      <c r="AM19" s="59">
        <f>-AM18*Inputs!$R$33</f>
        <v>0</v>
      </c>
      <c r="AN19" s="59">
        <f>-AN18*Inputs!$R$33</f>
        <v>0</v>
      </c>
      <c r="AO19" s="59">
        <f>-AO18*Inputs!$R$33</f>
        <v>0</v>
      </c>
      <c r="AP19" s="59">
        <f>-AP18*Inputs!$R$33</f>
        <v>0</v>
      </c>
      <c r="AQ19" s="59">
        <f>-AQ18*Inputs!$R$33</f>
        <v>0</v>
      </c>
      <c r="AR19" s="59">
        <f>-AR18*Inputs!$R$33</f>
        <v>0</v>
      </c>
      <c r="AS19" s="59">
        <f>-AS18*Inputs!$R$33</f>
        <v>0</v>
      </c>
      <c r="AT19" s="59">
        <f>-AT18*Inputs!$R$33</f>
        <v>0</v>
      </c>
      <c r="AU19" s="59">
        <f>-AU18*Inputs!$R$33</f>
        <v>0</v>
      </c>
      <c r="AV19" s="59">
        <f>-AV18*Inputs!$R$33</f>
        <v>0</v>
      </c>
      <c r="AW19" s="59">
        <f>-AW18*Inputs!$R$33</f>
        <v>0</v>
      </c>
      <c r="AX19" s="59">
        <f>-AX18*Inputs!$R$33</f>
        <v>0</v>
      </c>
      <c r="AY19" s="59">
        <f>-AY18*Inputs!$R$33</f>
        <v>0</v>
      </c>
      <c r="AZ19" s="59">
        <f>-AZ18*Inputs!$R$33</f>
        <v>0</v>
      </c>
      <c r="BA19" s="59">
        <f>-BA18*Inputs!$R$33</f>
        <v>0</v>
      </c>
      <c r="BB19" s="59">
        <f>-BB18*Inputs!$R$33</f>
        <v>0</v>
      </c>
      <c r="BC19" s="59">
        <f>-BC18*Inputs!$R$33</f>
        <v>0</v>
      </c>
      <c r="BD19" s="59">
        <f>-BD18*Inputs!$R$33</f>
        <v>0</v>
      </c>
      <c r="BE19" s="59">
        <f>-BE18*Inputs!$R$33</f>
        <v>0</v>
      </c>
      <c r="BF19" s="59">
        <f>-BF18*Inputs!$R$33</f>
        <v>0</v>
      </c>
      <c r="BG19" s="59">
        <f>-BG18*Inputs!$R$33</f>
        <v>0</v>
      </c>
      <c r="BH19" s="59">
        <f>-BH18*Inputs!$R$33</f>
        <v>0</v>
      </c>
      <c r="BI19" s="59">
        <f>-BI18*Inputs!$R$33</f>
        <v>0</v>
      </c>
      <c r="BJ19" s="59">
        <f>-BJ18*Inputs!$R$33</f>
        <v>0</v>
      </c>
      <c r="BK19" s="59">
        <f>-BK18*Inputs!$R$33</f>
        <v>0</v>
      </c>
    </row>
    <row r="20" spans="1:63" s="5" customFormat="1">
      <c r="A20" s="11" t="s">
        <v>198</v>
      </c>
      <c r="B20" s="48">
        <f>SUM(C20:BK20)</f>
        <v>1.0000000000000002</v>
      </c>
      <c r="C20" s="22">
        <f>IF(AND(C8&gt;=Inputs!$R$89,C8&lt;=Inputs!$R$93),1/Inputs!$Q$13,0)</f>
        <v>0</v>
      </c>
      <c r="D20" s="22">
        <f>IF(AND(D8&gt;=Inputs!$R$89,D8&lt;=Inputs!$R$93),1/Inputs!$Q$13,0)</f>
        <v>0</v>
      </c>
      <c r="E20" s="22">
        <f>IF(AND(E8&gt;=Inputs!$R$89,E8&lt;=Inputs!$R$93),1/Inputs!$Q$13,0)</f>
        <v>0</v>
      </c>
      <c r="F20" s="22">
        <f>IF(AND(F8&gt;=Inputs!$R$89,F8&lt;=Inputs!$R$93),1/Inputs!$Q$13,0)</f>
        <v>0</v>
      </c>
      <c r="G20" s="22">
        <f>IF(AND(G8&gt;=Inputs!$R$89,G8&lt;=Inputs!$R$93),1/Inputs!$Q$13,0)</f>
        <v>0</v>
      </c>
      <c r="H20" s="22">
        <f>IF(AND(H8&gt;=Inputs!$R$89,H8&lt;=Inputs!$R$93),1/Inputs!$Q$13,0)</f>
        <v>0</v>
      </c>
      <c r="I20" s="22">
        <f>IF(AND(I8&gt;=Inputs!$R$89,I8&lt;=Inputs!$R$93),1/Inputs!$Q$13,0)</f>
        <v>0</v>
      </c>
      <c r="J20" s="22">
        <f>IF(AND(J8&gt;=Inputs!$R$89,J8&lt;=Inputs!$R$93),1/Inputs!$Q$13,0)</f>
        <v>5.5555555555555552E-2</v>
      </c>
      <c r="K20" s="22">
        <f>IF(AND(K8&gt;=Inputs!$R$89,K8&lt;=Inputs!$R$93),1/Inputs!$Q$13,0)</f>
        <v>5.5555555555555552E-2</v>
      </c>
      <c r="L20" s="22">
        <f>IF(AND(L8&gt;=Inputs!$R$89,L8&lt;=Inputs!$R$93),1/Inputs!$Q$13,0)</f>
        <v>5.5555555555555552E-2</v>
      </c>
      <c r="M20" s="22">
        <f>IF(AND(M8&gt;=Inputs!$R$89,M8&lt;=Inputs!$R$93),1/Inputs!$Q$13,0)</f>
        <v>5.5555555555555552E-2</v>
      </c>
      <c r="N20" s="22">
        <f>IF(AND(N8&gt;=Inputs!$R$89,N8&lt;=Inputs!$R$93),1/Inputs!$Q$13,0)</f>
        <v>5.5555555555555552E-2</v>
      </c>
      <c r="O20" s="22">
        <f>IF(AND(O8&gt;=Inputs!$R$89,O8&lt;=Inputs!$R$93),1/Inputs!$Q$13,0)</f>
        <v>5.5555555555555552E-2</v>
      </c>
      <c r="P20" s="22">
        <f>IF(AND(P8&gt;=Inputs!$R$89,P8&lt;=Inputs!$R$93),1/Inputs!$Q$13,0)</f>
        <v>5.5555555555555552E-2</v>
      </c>
      <c r="Q20" s="22">
        <f>IF(AND(Q8&gt;=Inputs!$R$89,Q8&lt;=Inputs!$R$93),1/Inputs!$Q$13,0)</f>
        <v>5.5555555555555552E-2</v>
      </c>
      <c r="R20" s="22">
        <f>IF(AND(R8&gt;=Inputs!$R$89,R8&lt;=Inputs!$R$93),1/Inputs!$Q$13,0)</f>
        <v>5.5555555555555552E-2</v>
      </c>
      <c r="S20" s="22">
        <f>IF(AND(S8&gt;=Inputs!$R$89,S8&lt;=Inputs!$R$93),1/Inputs!$Q$13,0)</f>
        <v>5.5555555555555552E-2</v>
      </c>
      <c r="T20" s="22">
        <f>IF(AND(T8&gt;=Inputs!$R$89,T8&lt;=Inputs!$R$93),1/Inputs!$Q$13,0)</f>
        <v>5.5555555555555552E-2</v>
      </c>
      <c r="U20" s="22">
        <f>IF(AND(U8&gt;=Inputs!$R$89,U8&lt;=Inputs!$R$93),1/Inputs!$Q$13,0)</f>
        <v>5.5555555555555552E-2</v>
      </c>
      <c r="V20" s="22">
        <f>IF(AND(V8&gt;=Inputs!$R$89,V8&lt;=Inputs!$R$93),1/Inputs!$Q$13,0)</f>
        <v>5.5555555555555552E-2</v>
      </c>
      <c r="W20" s="22">
        <f>IF(AND(W8&gt;=Inputs!$R$89,W8&lt;=Inputs!$R$93),1/Inputs!$Q$13,0)</f>
        <v>5.5555555555555552E-2</v>
      </c>
      <c r="X20" s="22">
        <f>IF(AND(X8&gt;=Inputs!$R$89,X8&lt;=Inputs!$R$93),1/Inputs!$Q$13,0)</f>
        <v>5.5555555555555552E-2</v>
      </c>
      <c r="Y20" s="22">
        <f>IF(AND(Y8&gt;=Inputs!$R$89,Y8&lt;=Inputs!$R$93),1/Inputs!$Q$13,0)</f>
        <v>5.5555555555555552E-2</v>
      </c>
      <c r="Z20" s="22">
        <f>IF(AND(Z8&gt;=Inputs!$R$89,Z8&lt;=Inputs!$R$93),1/Inputs!$Q$13,0)</f>
        <v>5.5555555555555552E-2</v>
      </c>
      <c r="AA20" s="22">
        <f>IF(AND(AA8&gt;=Inputs!$R$89,AA8&lt;=Inputs!$R$93),1/Inputs!$Q$13,0)</f>
        <v>5.5555555555555552E-2</v>
      </c>
      <c r="AB20" s="22">
        <f>IF(AND(AB8&gt;=Inputs!$R$89,AB8&lt;=Inputs!$R$93),1/Inputs!$Q$13,0)</f>
        <v>0</v>
      </c>
      <c r="AC20" s="22">
        <f>IF(AND(AC8&gt;=Inputs!$R$89,AC8&lt;=Inputs!$R$93),1/Inputs!$Q$13,0)</f>
        <v>0</v>
      </c>
      <c r="AD20" s="22">
        <f>IF(AND(AD8&gt;=Inputs!$R$89,AD8&lt;=Inputs!$R$93),1/Inputs!$Q$13,0)</f>
        <v>0</v>
      </c>
      <c r="AE20" s="22">
        <f>IF(AND(AE8&gt;=Inputs!$R$89,AE8&lt;=Inputs!$R$93),1/Inputs!$Q$13,0)</f>
        <v>0</v>
      </c>
      <c r="AF20" s="22">
        <f>IF(AND(AF8&gt;=Inputs!$R$89,AF8&lt;=Inputs!$R$93),1/Inputs!$Q$13,0)</f>
        <v>0</v>
      </c>
      <c r="AG20" s="22">
        <f>IF(AND(AG8&gt;=Inputs!$R$89,AG8&lt;=Inputs!$R$93),1/Inputs!$Q$13,0)</f>
        <v>0</v>
      </c>
      <c r="AH20" s="22">
        <f>IF(AND(AH8&gt;=Inputs!$R$89,AH8&lt;=Inputs!$R$93),1/Inputs!$Q$13,0)</f>
        <v>0</v>
      </c>
      <c r="AI20" s="22">
        <f>IF(AND(AI8&gt;=Inputs!$R$89,AI8&lt;=Inputs!$R$93),1/Inputs!$Q$13,0)</f>
        <v>0</v>
      </c>
      <c r="AJ20" s="22">
        <f>IF(AND(AJ8&gt;=Inputs!$R$89,AJ8&lt;=Inputs!$R$93),1/Inputs!$Q$13,0)</f>
        <v>0</v>
      </c>
      <c r="AK20" s="22">
        <f>IF(AND(AK8&gt;=Inputs!$R$89,AK8&lt;=Inputs!$R$93),1/Inputs!$Q$13,0)</f>
        <v>0</v>
      </c>
      <c r="AL20" s="22">
        <f>IF(AND(AL8&gt;=Inputs!$R$89,AL8&lt;=Inputs!$R$93),1/Inputs!$Q$13,0)</f>
        <v>0</v>
      </c>
      <c r="AM20" s="22">
        <f>IF(AND(AM8&gt;=Inputs!$R$89,AM8&lt;=Inputs!$R$93),1/Inputs!$Q$13,0)</f>
        <v>0</v>
      </c>
      <c r="AN20" s="22">
        <f>IF(AND(AN8&gt;=Inputs!$R$89,AN8&lt;=Inputs!$R$93),1/Inputs!$Q$13,0)</f>
        <v>0</v>
      </c>
      <c r="AO20" s="22">
        <f>IF(AND(AO8&gt;=Inputs!$R$89,AO8&lt;=Inputs!$R$93),1/Inputs!$Q$13,0)</f>
        <v>0</v>
      </c>
      <c r="AP20" s="22">
        <f>IF(AND(AP8&gt;=Inputs!$R$89,AP8&lt;=Inputs!$R$93),1/Inputs!$Q$13,0)</f>
        <v>0</v>
      </c>
      <c r="AQ20" s="22">
        <f>IF(AND(AQ8&gt;=Inputs!$R$89,AQ8&lt;=Inputs!$R$93),1/Inputs!$Q$13,0)</f>
        <v>0</v>
      </c>
      <c r="AR20" s="22">
        <f>IF(AND(AR8&gt;=Inputs!$R$89,AR8&lt;=Inputs!$R$93),1/Inputs!$Q$13,0)</f>
        <v>0</v>
      </c>
      <c r="AS20" s="22">
        <f>IF(AND(AS8&gt;=Inputs!$R$89,AS8&lt;=Inputs!$R$93),1/Inputs!$Q$13,0)</f>
        <v>0</v>
      </c>
      <c r="AT20" s="22">
        <f>IF(AND(AT8&gt;=Inputs!$R$89,AT8&lt;=Inputs!$R$93),1/Inputs!$Q$13,0)</f>
        <v>0</v>
      </c>
      <c r="AU20" s="22">
        <f>IF(AND(AU8&gt;=Inputs!$R$89,AU8&lt;=Inputs!$R$93),1/Inputs!$Q$13,0)</f>
        <v>0</v>
      </c>
      <c r="AV20" s="22">
        <f>IF(AND(AV8&gt;=Inputs!$R$89,AV8&lt;=Inputs!$R$93),1/Inputs!$Q$13,0)</f>
        <v>0</v>
      </c>
      <c r="AW20" s="22">
        <f>IF(AND(AW8&gt;=Inputs!$R$89,AW8&lt;=Inputs!$R$93),1/Inputs!$Q$13,0)</f>
        <v>0</v>
      </c>
      <c r="AX20" s="22">
        <f>IF(AND(AX8&gt;=Inputs!$R$89,AX8&lt;=Inputs!$R$93),1/Inputs!$Q$13,0)</f>
        <v>0</v>
      </c>
      <c r="AY20" s="22">
        <f>IF(AND(AY8&gt;=Inputs!$R$89,AY8&lt;=Inputs!$R$93),1/Inputs!$Q$13,0)</f>
        <v>0</v>
      </c>
      <c r="AZ20" s="22">
        <f>IF(AND(AZ8&gt;=Inputs!$R$89,AZ8&lt;=Inputs!$R$93),1/Inputs!$Q$13,0)</f>
        <v>0</v>
      </c>
      <c r="BA20" s="22">
        <f>IF(AND(BA8&gt;=Inputs!$R$89,BA8&lt;=Inputs!$R$93),1/Inputs!$Q$13,0)</f>
        <v>0</v>
      </c>
      <c r="BB20" s="22">
        <f>IF(AND(BB8&gt;=Inputs!$R$89,BB8&lt;=Inputs!$R$93),1/Inputs!$Q$13,0)</f>
        <v>0</v>
      </c>
      <c r="BC20" s="22">
        <f>IF(AND(BC8&gt;=Inputs!$R$89,BC8&lt;=Inputs!$R$93),1/Inputs!$Q$13,0)</f>
        <v>0</v>
      </c>
      <c r="BD20" s="22">
        <f>IF(AND(BD8&gt;=Inputs!$R$89,BD8&lt;=Inputs!$R$93),1/Inputs!$Q$13,0)</f>
        <v>0</v>
      </c>
      <c r="BE20" s="22">
        <f>IF(AND(BE8&gt;=Inputs!$R$89,BE8&lt;=Inputs!$R$93),1/Inputs!$Q$13,0)</f>
        <v>0</v>
      </c>
      <c r="BF20" s="22">
        <f>IF(AND(BF8&gt;=Inputs!$R$89,BF8&lt;=Inputs!$R$93),1/Inputs!$Q$13,0)</f>
        <v>0</v>
      </c>
      <c r="BG20" s="22">
        <f>IF(AND(BG8&gt;=Inputs!$R$89,BG8&lt;=Inputs!$R$93),1/Inputs!$Q$13,0)</f>
        <v>0</v>
      </c>
      <c r="BH20" s="22">
        <f>IF(AND(BH8&gt;=Inputs!$R$89,BH8&lt;=Inputs!$R$93),1/Inputs!$Q$13,0)</f>
        <v>0</v>
      </c>
      <c r="BI20" s="22">
        <f>IF(AND(BI8&gt;=Inputs!$R$89,BI8&lt;=Inputs!$R$93),1/Inputs!$Q$13,0)</f>
        <v>0</v>
      </c>
      <c r="BJ20" s="22">
        <f>IF(AND(BJ8&gt;=Inputs!$R$89,BJ8&lt;=Inputs!$R$93),1/Inputs!$Q$13,0)</f>
        <v>0</v>
      </c>
      <c r="BK20" s="22">
        <f>IF(AND(BK8&gt;=Inputs!$R$89,BK8&lt;=Inputs!$R$93),1/Inputs!$Q$13,0)</f>
        <v>0</v>
      </c>
    </row>
    <row r="21" spans="1:63" s="5" customFormat="1">
      <c r="A21" s="11" t="s">
        <v>199</v>
      </c>
      <c r="B21" s="49"/>
      <c r="C21" s="21">
        <f>-C20*Inputs!$R$34</f>
        <v>0</v>
      </c>
      <c r="D21" s="21">
        <f>-D20*Inputs!$R$34</f>
        <v>0</v>
      </c>
      <c r="E21" s="21">
        <f>-E20*Inputs!$R$34</f>
        <v>0</v>
      </c>
      <c r="F21" s="21">
        <f>-F20*Inputs!$R$34</f>
        <v>0</v>
      </c>
      <c r="G21" s="21">
        <f>-G20*Inputs!$R$34</f>
        <v>0</v>
      </c>
      <c r="H21" s="21">
        <f>-H20*Inputs!$R$34</f>
        <v>0</v>
      </c>
      <c r="I21" s="21">
        <f>-I20*Inputs!$R$34</f>
        <v>0</v>
      </c>
      <c r="J21" s="21">
        <f>-J20*Inputs!$R$34</f>
        <v>-1400000</v>
      </c>
      <c r="K21" s="21">
        <f>-K20*Inputs!$R$34</f>
        <v>-1400000</v>
      </c>
      <c r="L21" s="21">
        <f>-L20*Inputs!$R$34</f>
        <v>-1400000</v>
      </c>
      <c r="M21" s="21">
        <f>-M20*Inputs!$R$34</f>
        <v>-1400000</v>
      </c>
      <c r="N21" s="21">
        <f>-N20*Inputs!$R$34</f>
        <v>-1400000</v>
      </c>
      <c r="O21" s="21">
        <f>-O20*Inputs!$R$34</f>
        <v>-1400000</v>
      </c>
      <c r="P21" s="21">
        <f>-P20*Inputs!$R$34</f>
        <v>-1400000</v>
      </c>
      <c r="Q21" s="21">
        <f>-Q20*Inputs!$R$34</f>
        <v>-1400000</v>
      </c>
      <c r="R21" s="21">
        <f>-R20*Inputs!$R$34</f>
        <v>-1400000</v>
      </c>
      <c r="S21" s="21">
        <f>-S20*Inputs!$R$34</f>
        <v>-1400000</v>
      </c>
      <c r="T21" s="21">
        <f>-T20*Inputs!$R$34</f>
        <v>-1400000</v>
      </c>
      <c r="U21" s="21">
        <f>-U20*Inputs!$R$34</f>
        <v>-1400000</v>
      </c>
      <c r="V21" s="21">
        <f>-V20*Inputs!$R$34</f>
        <v>-1400000</v>
      </c>
      <c r="W21" s="21">
        <f>-W20*Inputs!$R$34</f>
        <v>-1400000</v>
      </c>
      <c r="X21" s="21">
        <f>-X20*Inputs!$R$34</f>
        <v>-1400000</v>
      </c>
      <c r="Y21" s="21">
        <f>-Y20*Inputs!$R$34</f>
        <v>-1400000</v>
      </c>
      <c r="Z21" s="21">
        <f>-Z20*Inputs!$R$34</f>
        <v>-1400000</v>
      </c>
      <c r="AA21" s="21">
        <f>-AA20*Inputs!$R$34</f>
        <v>-1400000</v>
      </c>
      <c r="AB21" s="21">
        <f>-AB20*Inputs!$R$34</f>
        <v>0</v>
      </c>
      <c r="AC21" s="21">
        <f>-AC20*Inputs!$R$34</f>
        <v>0</v>
      </c>
      <c r="AD21" s="21">
        <f>-AD20*Inputs!$R$34</f>
        <v>0</v>
      </c>
      <c r="AE21" s="21">
        <f>-AE20*Inputs!$R$34</f>
        <v>0</v>
      </c>
      <c r="AF21" s="21">
        <f>-AF20*Inputs!$R$34</f>
        <v>0</v>
      </c>
      <c r="AG21" s="21">
        <f>-AG20*Inputs!$R$34</f>
        <v>0</v>
      </c>
      <c r="AH21" s="21">
        <f>-AH20*Inputs!$R$34</f>
        <v>0</v>
      </c>
      <c r="AI21" s="21">
        <f>-AI20*Inputs!$R$34</f>
        <v>0</v>
      </c>
      <c r="AJ21" s="21">
        <f>-AJ20*Inputs!$R$34</f>
        <v>0</v>
      </c>
      <c r="AK21" s="21">
        <f>-AK20*Inputs!$R$34</f>
        <v>0</v>
      </c>
      <c r="AL21" s="21">
        <f>-AL20*Inputs!$R$34</f>
        <v>0</v>
      </c>
      <c r="AM21" s="21">
        <f>-AM20*Inputs!$R$34</f>
        <v>0</v>
      </c>
      <c r="AN21" s="21">
        <f>-AN20*Inputs!$R$34</f>
        <v>0</v>
      </c>
      <c r="AO21" s="21">
        <f>-AO20*Inputs!$R$34</f>
        <v>0</v>
      </c>
      <c r="AP21" s="21">
        <f>-AP20*Inputs!$R$34</f>
        <v>0</v>
      </c>
      <c r="AQ21" s="21">
        <f>-AQ20*Inputs!$R$34</f>
        <v>0</v>
      </c>
      <c r="AR21" s="21">
        <f>-AR20*Inputs!$R$34</f>
        <v>0</v>
      </c>
      <c r="AS21" s="21">
        <f>-AS20*Inputs!$R$34</f>
        <v>0</v>
      </c>
      <c r="AT21" s="21">
        <f>-AT20*Inputs!$R$34</f>
        <v>0</v>
      </c>
      <c r="AU21" s="21">
        <f>-AU20*Inputs!$R$34</f>
        <v>0</v>
      </c>
      <c r="AV21" s="21">
        <f>-AV20*Inputs!$R$34</f>
        <v>0</v>
      </c>
      <c r="AW21" s="21">
        <f>-AW20*Inputs!$R$34</f>
        <v>0</v>
      </c>
      <c r="AX21" s="21">
        <f>-AX20*Inputs!$R$34</f>
        <v>0</v>
      </c>
      <c r="AY21" s="21">
        <f>-AY20*Inputs!$R$34</f>
        <v>0</v>
      </c>
      <c r="AZ21" s="21">
        <f>-AZ20*Inputs!$R$34</f>
        <v>0</v>
      </c>
      <c r="BA21" s="21">
        <f>-BA20*Inputs!$R$34</f>
        <v>0</v>
      </c>
      <c r="BB21" s="21">
        <f>-BB20*Inputs!$R$34</f>
        <v>0</v>
      </c>
      <c r="BC21" s="21">
        <f>-BC20*Inputs!$R$34</f>
        <v>0</v>
      </c>
      <c r="BD21" s="21">
        <f>-BD20*Inputs!$R$34</f>
        <v>0</v>
      </c>
      <c r="BE21" s="21">
        <f>-BE20*Inputs!$R$34</f>
        <v>0</v>
      </c>
      <c r="BF21" s="21">
        <f>-BF20*Inputs!$R$34</f>
        <v>0</v>
      </c>
      <c r="BG21" s="21">
        <f>-BG20*Inputs!$R$34</f>
        <v>0</v>
      </c>
      <c r="BH21" s="21">
        <f>-BH20*Inputs!$R$34</f>
        <v>0</v>
      </c>
      <c r="BI21" s="21">
        <f>-BI20*Inputs!$R$34</f>
        <v>0</v>
      </c>
      <c r="BJ21" s="21">
        <f>-BJ20*Inputs!$R$34</f>
        <v>0</v>
      </c>
      <c r="BK21" s="21">
        <f>-BK20*Inputs!$R$34</f>
        <v>0</v>
      </c>
    </row>
    <row r="22" spans="1:63" s="5" customFormat="1">
      <c r="A22" s="8" t="s">
        <v>200</v>
      </c>
      <c r="B22" s="23">
        <f>SUM(C22:BK22)</f>
        <v>-25200000</v>
      </c>
      <c r="C22" s="23">
        <f>SUM(C21,C19)</f>
        <v>0</v>
      </c>
      <c r="D22" s="23">
        <f t="shared" ref="D22:BK22" si="6">SUM(D21,D19)</f>
        <v>0</v>
      </c>
      <c r="E22" s="23">
        <f t="shared" si="6"/>
        <v>0</v>
      </c>
      <c r="F22" s="23">
        <f t="shared" si="6"/>
        <v>0</v>
      </c>
      <c r="G22" s="23">
        <f t="shared" si="6"/>
        <v>0</v>
      </c>
      <c r="H22" s="23">
        <f t="shared" si="6"/>
        <v>0</v>
      </c>
      <c r="I22" s="23">
        <f t="shared" si="6"/>
        <v>0</v>
      </c>
      <c r="J22" s="23">
        <f t="shared" si="6"/>
        <v>-1400000</v>
      </c>
      <c r="K22" s="23">
        <f t="shared" si="6"/>
        <v>-1400000</v>
      </c>
      <c r="L22" s="23">
        <f t="shared" si="6"/>
        <v>-1400000</v>
      </c>
      <c r="M22" s="23">
        <f t="shared" si="6"/>
        <v>-1400000</v>
      </c>
      <c r="N22" s="23">
        <f t="shared" si="6"/>
        <v>-1400000</v>
      </c>
      <c r="O22" s="23">
        <f t="shared" si="6"/>
        <v>-1400000</v>
      </c>
      <c r="P22" s="23">
        <f t="shared" si="6"/>
        <v>-1400000</v>
      </c>
      <c r="Q22" s="23">
        <f t="shared" si="6"/>
        <v>-1400000</v>
      </c>
      <c r="R22" s="23">
        <f t="shared" si="6"/>
        <v>-1400000</v>
      </c>
      <c r="S22" s="23">
        <f t="shared" si="6"/>
        <v>-1400000</v>
      </c>
      <c r="T22" s="23">
        <f t="shared" si="6"/>
        <v>-1400000</v>
      </c>
      <c r="U22" s="23">
        <f t="shared" si="6"/>
        <v>-1400000</v>
      </c>
      <c r="V22" s="23">
        <f t="shared" si="6"/>
        <v>-1400000</v>
      </c>
      <c r="W22" s="23">
        <f t="shared" si="6"/>
        <v>-1400000</v>
      </c>
      <c r="X22" s="23">
        <f t="shared" si="6"/>
        <v>-1400000</v>
      </c>
      <c r="Y22" s="23">
        <f t="shared" si="6"/>
        <v>-1400000</v>
      </c>
      <c r="Z22" s="23">
        <f t="shared" si="6"/>
        <v>-1400000</v>
      </c>
      <c r="AA22" s="23">
        <f t="shared" si="6"/>
        <v>-1400000</v>
      </c>
      <c r="AB22" s="23">
        <f t="shared" si="6"/>
        <v>0</v>
      </c>
      <c r="AC22" s="23">
        <f t="shared" si="6"/>
        <v>0</v>
      </c>
      <c r="AD22" s="23">
        <f t="shared" si="6"/>
        <v>0</v>
      </c>
      <c r="AE22" s="23">
        <f t="shared" si="6"/>
        <v>0</v>
      </c>
      <c r="AF22" s="23">
        <f t="shared" si="6"/>
        <v>0</v>
      </c>
      <c r="AG22" s="23">
        <f t="shared" si="6"/>
        <v>0</v>
      </c>
      <c r="AH22" s="23">
        <f t="shared" si="6"/>
        <v>0</v>
      </c>
      <c r="AI22" s="23">
        <f t="shared" si="6"/>
        <v>0</v>
      </c>
      <c r="AJ22" s="23">
        <f t="shared" si="6"/>
        <v>0</v>
      </c>
      <c r="AK22" s="23">
        <f t="shared" si="6"/>
        <v>0</v>
      </c>
      <c r="AL22" s="23">
        <f t="shared" si="6"/>
        <v>0</v>
      </c>
      <c r="AM22" s="23">
        <f t="shared" si="6"/>
        <v>0</v>
      </c>
      <c r="AN22" s="23">
        <f t="shared" si="6"/>
        <v>0</v>
      </c>
      <c r="AO22" s="23">
        <f t="shared" si="6"/>
        <v>0</v>
      </c>
      <c r="AP22" s="23">
        <f t="shared" si="6"/>
        <v>0</v>
      </c>
      <c r="AQ22" s="23">
        <f t="shared" si="6"/>
        <v>0</v>
      </c>
      <c r="AR22" s="23">
        <f t="shared" si="6"/>
        <v>0</v>
      </c>
      <c r="AS22" s="23">
        <f t="shared" si="6"/>
        <v>0</v>
      </c>
      <c r="AT22" s="23">
        <f t="shared" si="6"/>
        <v>0</v>
      </c>
      <c r="AU22" s="23">
        <f t="shared" si="6"/>
        <v>0</v>
      </c>
      <c r="AV22" s="23">
        <f t="shared" si="6"/>
        <v>0</v>
      </c>
      <c r="AW22" s="23">
        <f t="shared" si="6"/>
        <v>0</v>
      </c>
      <c r="AX22" s="23">
        <f t="shared" si="6"/>
        <v>0</v>
      </c>
      <c r="AY22" s="23">
        <f t="shared" si="6"/>
        <v>0</v>
      </c>
      <c r="AZ22" s="23">
        <f t="shared" si="6"/>
        <v>0</v>
      </c>
      <c r="BA22" s="23">
        <f t="shared" si="6"/>
        <v>0</v>
      </c>
      <c r="BB22" s="23">
        <f t="shared" si="6"/>
        <v>0</v>
      </c>
      <c r="BC22" s="23">
        <f t="shared" si="6"/>
        <v>0</v>
      </c>
      <c r="BD22" s="23">
        <f t="shared" si="6"/>
        <v>0</v>
      </c>
      <c r="BE22" s="23">
        <f t="shared" si="6"/>
        <v>0</v>
      </c>
      <c r="BF22" s="23">
        <f t="shared" si="6"/>
        <v>0</v>
      </c>
      <c r="BG22" s="23">
        <f t="shared" si="6"/>
        <v>0</v>
      </c>
      <c r="BH22" s="23">
        <f t="shared" si="6"/>
        <v>0</v>
      </c>
      <c r="BI22" s="23">
        <f t="shared" si="6"/>
        <v>0</v>
      </c>
      <c r="BJ22" s="23">
        <f t="shared" si="6"/>
        <v>0</v>
      </c>
      <c r="BK22" s="23">
        <f t="shared" si="6"/>
        <v>0</v>
      </c>
    </row>
    <row r="23" spans="1:63">
      <c r="A23" s="12"/>
      <c r="B23" s="2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s="5" customFormat="1">
      <c r="A24" s="5" t="s">
        <v>201</v>
      </c>
      <c r="B24" s="25">
        <f>-Inputs!R46</f>
        <v>-3002000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5" customFormat="1">
      <c r="A25" s="11" t="s">
        <v>202</v>
      </c>
      <c r="B25" s="48">
        <f>SUM(C25:BK25)</f>
        <v>1.0000000000000002</v>
      </c>
      <c r="C25" s="22">
        <f>IF(AND(C8&gt;=Inputs!$R$87,C8&lt;=Inputs!$R$93),1/(Inputs!$R$93-Inputs!$R$87+1),0)</f>
        <v>0.04</v>
      </c>
      <c r="D25" s="22">
        <f>IF(AND(D8&gt;=Inputs!$R$87,D8&lt;=Inputs!$R$93),1/(Inputs!$R$93-Inputs!$R$87+1),0)</f>
        <v>0.04</v>
      </c>
      <c r="E25" s="22">
        <f>IF(AND(E8&gt;=Inputs!$R$87,E8&lt;=Inputs!$R$93),1/(Inputs!$R$93-Inputs!$R$87+1),0)</f>
        <v>0.04</v>
      </c>
      <c r="F25" s="22">
        <f>IF(AND(F8&gt;=Inputs!$R$87,F8&lt;=Inputs!$R$93),1/(Inputs!$R$93-Inputs!$R$87+1),0)</f>
        <v>0.04</v>
      </c>
      <c r="G25" s="22">
        <f>IF(AND(G8&gt;=Inputs!$R$87,G8&lt;=Inputs!$R$93),1/(Inputs!$R$93-Inputs!$R$87+1),0)</f>
        <v>0.04</v>
      </c>
      <c r="H25" s="22">
        <f>IF(AND(H8&gt;=Inputs!$R$87,H8&lt;=Inputs!$R$93),1/(Inputs!$R$93-Inputs!$R$87+1),0)</f>
        <v>0.04</v>
      </c>
      <c r="I25" s="22">
        <f>IF(AND(I8&gt;=Inputs!$R$87,I8&lt;=Inputs!$R$93),1/(Inputs!$R$93-Inputs!$R$87+1),0)</f>
        <v>0.04</v>
      </c>
      <c r="J25" s="22">
        <f>IF(AND(J8&gt;=Inputs!$R$87,J8&lt;=Inputs!$R$93),1/(Inputs!$R$93-Inputs!$R$87+1),0)</f>
        <v>0.04</v>
      </c>
      <c r="K25" s="22">
        <f>IF(AND(K8&gt;=Inputs!$R$87,K8&lt;=Inputs!$R$93),1/(Inputs!$R$93-Inputs!$R$87+1),0)</f>
        <v>0.04</v>
      </c>
      <c r="L25" s="22">
        <f>IF(AND(L8&gt;=Inputs!$R$87,L8&lt;=Inputs!$R$93),1/(Inputs!$R$93-Inputs!$R$87+1),0)</f>
        <v>0.04</v>
      </c>
      <c r="M25" s="22">
        <f>IF(AND(M8&gt;=Inputs!$R$87,M8&lt;=Inputs!$R$93),1/(Inputs!$R$93-Inputs!$R$87+1),0)</f>
        <v>0.04</v>
      </c>
      <c r="N25" s="22">
        <f>IF(AND(N8&gt;=Inputs!$R$87,N8&lt;=Inputs!$R$93),1/(Inputs!$R$93-Inputs!$R$87+1),0)</f>
        <v>0.04</v>
      </c>
      <c r="O25" s="22">
        <f>IF(AND(O8&gt;=Inputs!$R$87,O8&lt;=Inputs!$R$93),1/(Inputs!$R$93-Inputs!$R$87+1),0)</f>
        <v>0.04</v>
      </c>
      <c r="P25" s="22">
        <f>IF(AND(P8&gt;=Inputs!$R$87,P8&lt;=Inputs!$R$93),1/(Inputs!$R$93-Inputs!$R$87+1),0)</f>
        <v>0.04</v>
      </c>
      <c r="Q25" s="22">
        <f>IF(AND(Q8&gt;=Inputs!$R$87,Q8&lt;=Inputs!$R$93),1/(Inputs!$R$93-Inputs!$R$87+1),0)</f>
        <v>0.04</v>
      </c>
      <c r="R25" s="22">
        <f>IF(AND(R8&gt;=Inputs!$R$87,R8&lt;=Inputs!$R$93),1/(Inputs!$R$93-Inputs!$R$87+1),0)</f>
        <v>0.04</v>
      </c>
      <c r="S25" s="22">
        <f>IF(AND(S8&gt;=Inputs!$R$87,S8&lt;=Inputs!$R$93),1/(Inputs!$R$93-Inputs!$R$87+1),0)</f>
        <v>0.04</v>
      </c>
      <c r="T25" s="22">
        <f>IF(AND(T8&gt;=Inputs!$R$87,T8&lt;=Inputs!$R$93),1/(Inputs!$R$93-Inputs!$R$87+1),0)</f>
        <v>0.04</v>
      </c>
      <c r="U25" s="22">
        <f>IF(AND(U8&gt;=Inputs!$R$87,U8&lt;=Inputs!$R$93),1/(Inputs!$R$93-Inputs!$R$87+1),0)</f>
        <v>0.04</v>
      </c>
      <c r="V25" s="22">
        <f>IF(AND(V8&gt;=Inputs!$R$87,V8&lt;=Inputs!$R$93),1/(Inputs!$R$93-Inputs!$R$87+1),0)</f>
        <v>0.04</v>
      </c>
      <c r="W25" s="22">
        <f>IF(AND(W8&gt;=Inputs!$R$87,W8&lt;=Inputs!$R$93),1/(Inputs!$R$93-Inputs!$R$87+1),0)</f>
        <v>0.04</v>
      </c>
      <c r="X25" s="22">
        <f>IF(AND(X8&gt;=Inputs!$R$87,X8&lt;=Inputs!$R$93),1/(Inputs!$R$93-Inputs!$R$87+1),0)</f>
        <v>0.04</v>
      </c>
      <c r="Y25" s="22">
        <f>IF(AND(Y8&gt;=Inputs!$R$87,Y8&lt;=Inputs!$R$93),1/(Inputs!$R$93-Inputs!$R$87+1),0)</f>
        <v>0.04</v>
      </c>
      <c r="Z25" s="22">
        <f>IF(AND(Z8&gt;=Inputs!$R$87,Z8&lt;=Inputs!$R$93),1/(Inputs!$R$93-Inputs!$R$87+1),0)</f>
        <v>0.04</v>
      </c>
      <c r="AA25" s="22">
        <f>IF(AND(AA8&gt;=Inputs!$R$87,AA8&lt;=Inputs!$R$93),1/(Inputs!$R$93-Inputs!$R$87+1),0)</f>
        <v>0.04</v>
      </c>
      <c r="AB25" s="22">
        <f>IF(AND(AB8&gt;=Inputs!$R$87,AB8&lt;=Inputs!$R$93),1/(Inputs!$R$93-Inputs!$R$87+1),0)</f>
        <v>0</v>
      </c>
      <c r="AC25" s="22">
        <f>IF(AND(AC8&gt;=Inputs!$R$87,AC8&lt;=Inputs!$R$93),1/(Inputs!$R$93-Inputs!$R$87+1),0)</f>
        <v>0</v>
      </c>
      <c r="AD25" s="22">
        <f>IF(AND(AD8&gt;=Inputs!$R$87,AD8&lt;=Inputs!$R$93),1/(Inputs!$R$93-Inputs!$R$87+1),0)</f>
        <v>0</v>
      </c>
      <c r="AE25" s="22">
        <f>IF(AND(AE8&gt;=Inputs!$R$87,AE8&lt;=Inputs!$R$93),1/(Inputs!$R$93-Inputs!$R$87+1),0)</f>
        <v>0</v>
      </c>
      <c r="AF25" s="22">
        <f>IF(AND(AF8&gt;=Inputs!$R$87,AF8&lt;=Inputs!$R$93),1/(Inputs!$R$93-Inputs!$R$87+1),0)</f>
        <v>0</v>
      </c>
      <c r="AG25" s="22">
        <f>IF(AND(AG8&gt;=Inputs!$R$87,AG8&lt;=Inputs!$R$93),1/(Inputs!$R$93-Inputs!$R$87+1),0)</f>
        <v>0</v>
      </c>
      <c r="AH25" s="22">
        <f>IF(AND(AH8&gt;=Inputs!$R$87,AH8&lt;=Inputs!$R$93),1/(Inputs!$R$93-Inputs!$R$87+1),0)</f>
        <v>0</v>
      </c>
      <c r="AI25" s="22">
        <f>IF(AND(AI8&gt;=Inputs!$R$87,AI8&lt;=Inputs!$R$93),1/(Inputs!$R$93-Inputs!$R$87+1),0)</f>
        <v>0</v>
      </c>
      <c r="AJ25" s="22">
        <f>IF(AND(AJ8&gt;=Inputs!$R$87,AJ8&lt;=Inputs!$R$93),1/(Inputs!$R$93-Inputs!$R$87+1),0)</f>
        <v>0</v>
      </c>
      <c r="AK25" s="22">
        <f>IF(AND(AK8&gt;=Inputs!$R$87,AK8&lt;=Inputs!$R$93),1/(Inputs!$R$93-Inputs!$R$87+1),0)</f>
        <v>0</v>
      </c>
      <c r="AL25" s="22">
        <f>IF(AND(AL8&gt;=Inputs!$R$87,AL8&lt;=Inputs!$R$93),1/(Inputs!$R$93-Inputs!$R$87+1),0)</f>
        <v>0</v>
      </c>
      <c r="AM25" s="22">
        <f>IF(AND(AM8&gt;=Inputs!$R$87,AM8&lt;=Inputs!$R$93),1/(Inputs!$R$93-Inputs!$R$87+1),0)</f>
        <v>0</v>
      </c>
      <c r="AN25" s="22">
        <f>IF(AND(AN8&gt;=Inputs!$R$87,AN8&lt;=Inputs!$R$93),1/(Inputs!$R$93-Inputs!$R$87+1),0)</f>
        <v>0</v>
      </c>
      <c r="AO25" s="22">
        <f>IF(AND(AO8&gt;=Inputs!$R$87,AO8&lt;=Inputs!$R$93),1/(Inputs!$R$93-Inputs!$R$87+1),0)</f>
        <v>0</v>
      </c>
      <c r="AP25" s="22">
        <f>IF(AND(AP8&gt;=Inputs!$R$87,AP8&lt;=Inputs!$R$93),1/(Inputs!$R$93-Inputs!$R$87+1),0)</f>
        <v>0</v>
      </c>
      <c r="AQ25" s="22">
        <f>IF(AND(AQ8&gt;=Inputs!$R$87,AQ8&lt;=Inputs!$R$93),1/(Inputs!$R$93-Inputs!$R$87+1),0)</f>
        <v>0</v>
      </c>
      <c r="AR25" s="22">
        <f>IF(AND(AR8&gt;=Inputs!$R$87,AR8&lt;=Inputs!$R$93),1/(Inputs!$R$93-Inputs!$R$87+1),0)</f>
        <v>0</v>
      </c>
      <c r="AS25" s="22">
        <f>IF(AND(AS8&gt;=Inputs!$R$87,AS8&lt;=Inputs!$R$93),1/(Inputs!$R$93-Inputs!$R$87+1),0)</f>
        <v>0</v>
      </c>
      <c r="AT25" s="22">
        <f>IF(AND(AT8&gt;=Inputs!$R$87,AT8&lt;=Inputs!$R$93),1/(Inputs!$R$93-Inputs!$R$87+1),0)</f>
        <v>0</v>
      </c>
      <c r="AU25" s="22">
        <f>IF(AND(AU8&gt;=Inputs!$R$87,AU8&lt;=Inputs!$R$93),1/(Inputs!$R$93-Inputs!$R$87+1),0)</f>
        <v>0</v>
      </c>
      <c r="AV25" s="22">
        <f>IF(AND(AV8&gt;=Inputs!$R$87,AV8&lt;=Inputs!$R$93),1/(Inputs!$R$93-Inputs!$R$87+1),0)</f>
        <v>0</v>
      </c>
      <c r="AW25" s="22">
        <f>IF(AND(AW8&gt;=Inputs!$R$87,AW8&lt;=Inputs!$R$93),1/(Inputs!$R$93-Inputs!$R$87+1),0)</f>
        <v>0</v>
      </c>
      <c r="AX25" s="22">
        <f>IF(AND(AX8&gt;=Inputs!$R$87,AX8&lt;=Inputs!$R$93),1/(Inputs!$R$93-Inputs!$R$87+1),0)</f>
        <v>0</v>
      </c>
      <c r="AY25" s="22">
        <f>IF(AND(AY8&gt;=Inputs!$R$87,AY8&lt;=Inputs!$R$93),1/(Inputs!$R$93-Inputs!$R$87+1),0)</f>
        <v>0</v>
      </c>
      <c r="AZ25" s="22">
        <f>IF(AND(AZ8&gt;=Inputs!$R$87,AZ8&lt;=Inputs!$R$93),1/(Inputs!$R$93-Inputs!$R$87+1),0)</f>
        <v>0</v>
      </c>
      <c r="BA25" s="22">
        <f>IF(AND(BA8&gt;=Inputs!$R$87,BA8&lt;=Inputs!$R$93),1/(Inputs!$R$93-Inputs!$R$87+1),0)</f>
        <v>0</v>
      </c>
      <c r="BB25" s="22">
        <f>IF(AND(BB8&gt;=Inputs!$R$87,BB8&lt;=Inputs!$R$93),1/(Inputs!$R$93-Inputs!$R$87+1),0)</f>
        <v>0</v>
      </c>
      <c r="BC25" s="22">
        <f>IF(AND(BC8&gt;=Inputs!$R$87,BC8&lt;=Inputs!$R$93),1/(Inputs!$R$93-Inputs!$R$87+1),0)</f>
        <v>0</v>
      </c>
      <c r="BD25" s="22">
        <f>IF(AND(BD8&gt;=Inputs!$R$87,BD8&lt;=Inputs!$R$93),1/(Inputs!$R$93-Inputs!$R$87+1),0)</f>
        <v>0</v>
      </c>
      <c r="BE25" s="22">
        <f>IF(AND(BE8&gt;=Inputs!$R$87,BE8&lt;=Inputs!$R$93),1/(Inputs!$R$93-Inputs!$R$87+1),0)</f>
        <v>0</v>
      </c>
      <c r="BF25" s="22">
        <f>IF(AND(BF8&gt;=Inputs!$R$87,BF8&lt;=Inputs!$R$93),1/(Inputs!$R$93-Inputs!$R$87+1),0)</f>
        <v>0</v>
      </c>
      <c r="BG25" s="22">
        <f>IF(AND(BG8&gt;=Inputs!$R$87,BG8&lt;=Inputs!$R$93),1/(Inputs!$R$93-Inputs!$R$87+1),0)</f>
        <v>0</v>
      </c>
      <c r="BH25" s="22">
        <f>IF(AND(BH8&gt;=Inputs!$R$87,BH8&lt;=Inputs!$R$93),1/(Inputs!$R$93-Inputs!$R$87+1),0)</f>
        <v>0</v>
      </c>
      <c r="BI25" s="22">
        <f>IF(AND(BI8&gt;=Inputs!$R$87,BI8&lt;=Inputs!$R$93),1/(Inputs!$R$93-Inputs!$R$87+1),0)</f>
        <v>0</v>
      </c>
      <c r="BJ25" s="22">
        <f>IF(AND(BJ8&gt;=Inputs!$R$87,BJ8&lt;=Inputs!$R$93),1/(Inputs!$R$93-Inputs!$R$87+1),0)</f>
        <v>0</v>
      </c>
      <c r="BK25" s="22">
        <f>IF(AND(BK8&gt;=Inputs!$R$87,BK8&lt;=Inputs!$R$93),1/(Inputs!$R$93-Inputs!$R$87+1),0)</f>
        <v>0</v>
      </c>
    </row>
    <row r="26" spans="1:63" s="5" customFormat="1">
      <c r="A26" s="13" t="s">
        <v>203</v>
      </c>
      <c r="B26" s="23">
        <f>SUM(C26:BK26)</f>
        <v>-3002000</v>
      </c>
      <c r="C26" s="26">
        <f>-C25*Inputs!$R$46</f>
        <v>-120080</v>
      </c>
      <c r="D26" s="26">
        <f>-D25*Inputs!$R$46</f>
        <v>-120080</v>
      </c>
      <c r="E26" s="26">
        <f>-E25*Inputs!$R$46</f>
        <v>-120080</v>
      </c>
      <c r="F26" s="26">
        <f>-F25*Inputs!$R$46</f>
        <v>-120080</v>
      </c>
      <c r="G26" s="26">
        <f>-G25*Inputs!$R$46</f>
        <v>-120080</v>
      </c>
      <c r="H26" s="26">
        <f>-H25*Inputs!$R$46</f>
        <v>-120080</v>
      </c>
      <c r="I26" s="26">
        <f>-I25*Inputs!$R$46</f>
        <v>-120080</v>
      </c>
      <c r="J26" s="26">
        <f>-J25*Inputs!$R$46</f>
        <v>-120080</v>
      </c>
      <c r="K26" s="26">
        <f>-K25*Inputs!$R$46</f>
        <v>-120080</v>
      </c>
      <c r="L26" s="26">
        <f>-L25*Inputs!$R$46</f>
        <v>-120080</v>
      </c>
      <c r="M26" s="26">
        <f>-M25*Inputs!$R$46</f>
        <v>-120080</v>
      </c>
      <c r="N26" s="26">
        <f>-N25*Inputs!$R$46</f>
        <v>-120080</v>
      </c>
      <c r="O26" s="26">
        <f>-O25*Inputs!$R$46</f>
        <v>-120080</v>
      </c>
      <c r="P26" s="26">
        <f>-P25*Inputs!$R$46</f>
        <v>-120080</v>
      </c>
      <c r="Q26" s="26">
        <f>-Q25*Inputs!$R$46</f>
        <v>-120080</v>
      </c>
      <c r="R26" s="26">
        <f>-R25*Inputs!$R$46</f>
        <v>-120080</v>
      </c>
      <c r="S26" s="26">
        <f>-S25*Inputs!$R$46</f>
        <v>-120080</v>
      </c>
      <c r="T26" s="26">
        <f>-T25*Inputs!$R$46</f>
        <v>-120080</v>
      </c>
      <c r="U26" s="26">
        <f>-U25*Inputs!$R$46</f>
        <v>-120080</v>
      </c>
      <c r="V26" s="26">
        <f>-V25*Inputs!$R$46</f>
        <v>-120080</v>
      </c>
      <c r="W26" s="26">
        <f>-W25*Inputs!$R$46</f>
        <v>-120080</v>
      </c>
      <c r="X26" s="26">
        <f>-X25*Inputs!$R$46</f>
        <v>-120080</v>
      </c>
      <c r="Y26" s="26">
        <f>-Y25*Inputs!$R$46</f>
        <v>-120080</v>
      </c>
      <c r="Z26" s="26">
        <f>-Z25*Inputs!$R$46</f>
        <v>-120080</v>
      </c>
      <c r="AA26" s="26">
        <f>-AA25*Inputs!$R$46</f>
        <v>-120080</v>
      </c>
      <c r="AB26" s="26">
        <f>-AB25*Inputs!$R$46</f>
        <v>0</v>
      </c>
      <c r="AC26" s="26">
        <f>-AC25*Inputs!$R$46</f>
        <v>0</v>
      </c>
      <c r="AD26" s="26">
        <f>-AD25*Inputs!$R$46</f>
        <v>0</v>
      </c>
      <c r="AE26" s="26">
        <f>-AE25*Inputs!$R$46</f>
        <v>0</v>
      </c>
      <c r="AF26" s="26">
        <f>-AF25*Inputs!$R$46</f>
        <v>0</v>
      </c>
      <c r="AG26" s="26">
        <f>-AG25*Inputs!$R$46</f>
        <v>0</v>
      </c>
      <c r="AH26" s="26">
        <f>-AH25*Inputs!$R$46</f>
        <v>0</v>
      </c>
      <c r="AI26" s="26">
        <f>-AI25*Inputs!$R$46</f>
        <v>0</v>
      </c>
      <c r="AJ26" s="26">
        <f>-AJ25*Inputs!$R$46</f>
        <v>0</v>
      </c>
      <c r="AK26" s="26">
        <f>-AK25*Inputs!$R$46</f>
        <v>0</v>
      </c>
      <c r="AL26" s="26">
        <f>-AL25*Inputs!$R$46</f>
        <v>0</v>
      </c>
      <c r="AM26" s="26">
        <f>-AM25*Inputs!$R$46</f>
        <v>0</v>
      </c>
      <c r="AN26" s="26">
        <f>-AN25*Inputs!$R$46</f>
        <v>0</v>
      </c>
      <c r="AO26" s="26">
        <f>-AO25*Inputs!$R$46</f>
        <v>0</v>
      </c>
      <c r="AP26" s="26">
        <f>-AP25*Inputs!$R$46</f>
        <v>0</v>
      </c>
      <c r="AQ26" s="26">
        <f>-AQ25*Inputs!$R$46</f>
        <v>0</v>
      </c>
      <c r="AR26" s="26">
        <f>-AR25*Inputs!$R$46</f>
        <v>0</v>
      </c>
      <c r="AS26" s="26">
        <f>-AS25*Inputs!$R$46</f>
        <v>0</v>
      </c>
      <c r="AT26" s="26">
        <f>-AT25*Inputs!$R$46</f>
        <v>0</v>
      </c>
      <c r="AU26" s="26">
        <f>-AU25*Inputs!$R$46</f>
        <v>0</v>
      </c>
      <c r="AV26" s="26">
        <f>-AV25*Inputs!$R$46</f>
        <v>0</v>
      </c>
      <c r="AW26" s="26">
        <f>-AW25*Inputs!$R$46</f>
        <v>0</v>
      </c>
      <c r="AX26" s="26">
        <f>-AX25*Inputs!$R$46</f>
        <v>0</v>
      </c>
      <c r="AY26" s="26">
        <f>-AY25*Inputs!$R$46</f>
        <v>0</v>
      </c>
      <c r="AZ26" s="26">
        <f>-AZ25*Inputs!$R$46</f>
        <v>0</v>
      </c>
      <c r="BA26" s="26">
        <f>-BA25*Inputs!$R$46</f>
        <v>0</v>
      </c>
      <c r="BB26" s="26">
        <f>-BB25*Inputs!$R$46</f>
        <v>0</v>
      </c>
      <c r="BC26" s="26">
        <f>-BC25*Inputs!$R$46</f>
        <v>0</v>
      </c>
      <c r="BD26" s="26">
        <f>-BD25*Inputs!$R$46</f>
        <v>0</v>
      </c>
      <c r="BE26" s="26">
        <f>-BE25*Inputs!$R$46</f>
        <v>0</v>
      </c>
      <c r="BF26" s="26">
        <f>-BF25*Inputs!$R$46</f>
        <v>0</v>
      </c>
      <c r="BG26" s="26">
        <f>-BG25*Inputs!$R$46</f>
        <v>0</v>
      </c>
      <c r="BH26" s="26">
        <f>-BH25*Inputs!$R$46</f>
        <v>0</v>
      </c>
      <c r="BI26" s="26">
        <f>-BI25*Inputs!$R$46</f>
        <v>0</v>
      </c>
      <c r="BJ26" s="26">
        <f>-BJ25*Inputs!$R$46</f>
        <v>0</v>
      </c>
      <c r="BK26" s="26">
        <f>-BK25*Inputs!$R$46</f>
        <v>0</v>
      </c>
    </row>
    <row r="27" spans="1:63" s="5" customFormat="1">
      <c r="A27" s="11"/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s="5" customFormat="1">
      <c r="A28" s="5" t="s">
        <v>32</v>
      </c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s="5" customFormat="1">
      <c r="A29" s="11" t="s">
        <v>152</v>
      </c>
      <c r="B29" s="49">
        <f ca="1">SUM(C29:XFD29)</f>
        <v>-208996.08621247541</v>
      </c>
      <c r="C29" s="15">
        <f ca="1">-Inputs!R50</f>
        <v>-208996.07310861073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s="98" customFormat="1">
      <c r="A30" s="11" t="s">
        <v>204</v>
      </c>
      <c r="B30" s="49">
        <f ca="1">SUM(C30:BK30)</f>
        <v>-928038.85364393948</v>
      </c>
      <c r="C30" s="21">
        <f t="shared" ref="C30:BK30" ca="1" si="7">IF(C65=0,C49,0)</f>
        <v>0</v>
      </c>
      <c r="D30" s="21">
        <f t="shared" ca="1" si="7"/>
        <v>0</v>
      </c>
      <c r="E30" s="21">
        <f t="shared" ca="1" si="7"/>
        <v>0</v>
      </c>
      <c r="F30" s="21">
        <f t="shared" ca="1" si="7"/>
        <v>0</v>
      </c>
      <c r="G30" s="21">
        <f t="shared" ca="1" si="7"/>
        <v>0</v>
      </c>
      <c r="H30" s="21">
        <f t="shared" ca="1" si="7"/>
        <v>0</v>
      </c>
      <c r="I30" s="21">
        <f t="shared" ca="1" si="7"/>
        <v>0</v>
      </c>
      <c r="J30" s="21">
        <f t="shared" ca="1" si="7"/>
        <v>0</v>
      </c>
      <c r="K30" s="21">
        <f t="shared" ca="1" si="7"/>
        <v>0</v>
      </c>
      <c r="L30" s="21">
        <f t="shared" ca="1" si="7"/>
        <v>0</v>
      </c>
      <c r="M30" s="21">
        <f t="shared" ca="1" si="7"/>
        <v>0</v>
      </c>
      <c r="N30" s="21">
        <f t="shared" ca="1" si="7"/>
        <v>0</v>
      </c>
      <c r="O30" s="21">
        <f t="shared" ca="1" si="7"/>
        <v>-8301.7758744822113</v>
      </c>
      <c r="P30" s="21">
        <f t="shared" ca="1" si="7"/>
        <v>-18559.371599153739</v>
      </c>
      <c r="Q30" s="21">
        <f t="shared" ca="1" si="7"/>
        <v>-28885.810249392802</v>
      </c>
      <c r="R30" s="21">
        <f t="shared" ca="1" si="7"/>
        <v>-39281.553858234627</v>
      </c>
      <c r="S30" s="21">
        <f t="shared" ca="1" si="7"/>
        <v>-49747.067559607451</v>
      </c>
      <c r="T30" s="21">
        <f t="shared" ca="1" si="7"/>
        <v>-60282.819609143888</v>
      </c>
      <c r="U30" s="21">
        <f t="shared" ca="1" si="7"/>
        <v>-70889.281405131944</v>
      </c>
      <c r="V30" s="21">
        <f t="shared" ca="1" si="7"/>
        <v>-81566.92750960667</v>
      </c>
      <c r="W30" s="21">
        <f t="shared" ca="1" si="7"/>
        <v>-92316.235669583373</v>
      </c>
      <c r="X30" s="21">
        <f t="shared" ca="1" si="7"/>
        <v>-103137.68683843338</v>
      </c>
      <c r="Y30" s="21">
        <f t="shared" ca="1" si="7"/>
        <v>-114031.76519740303</v>
      </c>
      <c r="Z30" s="21">
        <f t="shared" ca="1" si="7"/>
        <v>-124998.95817727748</v>
      </c>
      <c r="AA30" s="21">
        <f t="shared" ca="1" si="7"/>
        <v>-136039.75648018962</v>
      </c>
      <c r="AB30" s="21">
        <f t="shared" si="7"/>
        <v>0</v>
      </c>
      <c r="AC30" s="21">
        <f t="shared" si="7"/>
        <v>0</v>
      </c>
      <c r="AD30" s="21">
        <f t="shared" si="7"/>
        <v>0</v>
      </c>
      <c r="AE30" s="21">
        <f t="shared" si="7"/>
        <v>0</v>
      </c>
      <c r="AF30" s="21">
        <f t="shared" si="7"/>
        <v>0</v>
      </c>
      <c r="AG30" s="21">
        <f t="shared" si="7"/>
        <v>0</v>
      </c>
      <c r="AH30" s="21">
        <f t="shared" si="7"/>
        <v>0</v>
      </c>
      <c r="AI30" s="21">
        <f t="shared" si="7"/>
        <v>0</v>
      </c>
      <c r="AJ30" s="21">
        <f t="shared" si="7"/>
        <v>0</v>
      </c>
      <c r="AK30" s="21">
        <f t="shared" si="7"/>
        <v>0</v>
      </c>
      <c r="AL30" s="21">
        <f t="shared" si="7"/>
        <v>0</v>
      </c>
      <c r="AM30" s="21">
        <f t="shared" si="7"/>
        <v>0</v>
      </c>
      <c r="AN30" s="21">
        <f t="shared" si="7"/>
        <v>0</v>
      </c>
      <c r="AO30" s="21">
        <f t="shared" si="7"/>
        <v>0</v>
      </c>
      <c r="AP30" s="21">
        <f t="shared" si="7"/>
        <v>0</v>
      </c>
      <c r="AQ30" s="21">
        <f t="shared" si="7"/>
        <v>0</v>
      </c>
      <c r="AR30" s="21">
        <f t="shared" si="7"/>
        <v>0</v>
      </c>
      <c r="AS30" s="21">
        <f t="shared" si="7"/>
        <v>0</v>
      </c>
      <c r="AT30" s="21">
        <f t="shared" si="7"/>
        <v>0</v>
      </c>
      <c r="AU30" s="21">
        <f t="shared" si="7"/>
        <v>0</v>
      </c>
      <c r="AV30" s="21">
        <f t="shared" si="7"/>
        <v>0</v>
      </c>
      <c r="AW30" s="21">
        <f t="shared" si="7"/>
        <v>0</v>
      </c>
      <c r="AX30" s="21">
        <f t="shared" si="7"/>
        <v>0</v>
      </c>
      <c r="AY30" s="21">
        <f t="shared" si="7"/>
        <v>0</v>
      </c>
      <c r="AZ30" s="21">
        <f t="shared" si="7"/>
        <v>0</v>
      </c>
      <c r="BA30" s="21">
        <f t="shared" si="7"/>
        <v>0</v>
      </c>
      <c r="BB30" s="21">
        <f t="shared" si="7"/>
        <v>0</v>
      </c>
      <c r="BC30" s="21">
        <f t="shared" si="7"/>
        <v>0</v>
      </c>
      <c r="BD30" s="21">
        <f t="shared" si="7"/>
        <v>0</v>
      </c>
      <c r="BE30" s="21">
        <f t="shared" si="7"/>
        <v>0</v>
      </c>
      <c r="BF30" s="21">
        <f t="shared" si="7"/>
        <v>0</v>
      </c>
      <c r="BG30" s="21">
        <f t="shared" si="7"/>
        <v>0</v>
      </c>
      <c r="BH30" s="21">
        <f t="shared" si="7"/>
        <v>0</v>
      </c>
      <c r="BI30" s="21">
        <f t="shared" si="7"/>
        <v>0</v>
      </c>
      <c r="BJ30" s="21">
        <f t="shared" si="7"/>
        <v>0</v>
      </c>
      <c r="BK30" s="21">
        <f t="shared" si="7"/>
        <v>0</v>
      </c>
    </row>
    <row r="31" spans="1:63" s="98" customFormat="1">
      <c r="A31" s="11" t="s">
        <v>144</v>
      </c>
      <c r="B31" s="49">
        <f ca="1">SUM(C31:BK31)</f>
        <v>-493642.69986063597</v>
      </c>
      <c r="C31" s="21">
        <f>IF(C72&lt;0,C72,0)</f>
        <v>0</v>
      </c>
      <c r="D31" s="21">
        <f t="shared" ref="D31:BK31" si="8">IF(D72&lt;0,D72,0)</f>
        <v>0</v>
      </c>
      <c r="E31" s="21">
        <f t="shared" si="8"/>
        <v>0</v>
      </c>
      <c r="F31" s="21">
        <f t="shared" si="8"/>
        <v>0</v>
      </c>
      <c r="G31" s="21">
        <f t="shared" si="8"/>
        <v>0</v>
      </c>
      <c r="H31" s="21">
        <f t="shared" si="8"/>
        <v>0</v>
      </c>
      <c r="I31" s="21">
        <f t="shared" si="8"/>
        <v>0</v>
      </c>
      <c r="J31" s="21">
        <f>IF(J72&lt;0,J72,0)</f>
        <v>0</v>
      </c>
      <c r="K31" s="21">
        <f t="shared" si="8"/>
        <v>0</v>
      </c>
      <c r="L31" s="21">
        <f t="shared" si="8"/>
        <v>0</v>
      </c>
      <c r="M31" s="21">
        <f t="shared" si="8"/>
        <v>0</v>
      </c>
      <c r="N31" s="21">
        <f t="shared" si="8"/>
        <v>0</v>
      </c>
      <c r="O31" s="21">
        <f t="shared" si="8"/>
        <v>0</v>
      </c>
      <c r="P31" s="21">
        <f t="shared" si="8"/>
        <v>0</v>
      </c>
      <c r="Q31" s="21">
        <f t="shared" si="8"/>
        <v>0</v>
      </c>
      <c r="R31" s="21">
        <f t="shared" si="8"/>
        <v>0</v>
      </c>
      <c r="S31" s="21">
        <f t="shared" si="8"/>
        <v>0</v>
      </c>
      <c r="T31" s="21">
        <f t="shared" si="8"/>
        <v>0</v>
      </c>
      <c r="U31" s="21">
        <f t="shared" si="8"/>
        <v>0</v>
      </c>
      <c r="V31" s="21">
        <f t="shared" si="8"/>
        <v>0</v>
      </c>
      <c r="W31" s="21">
        <f t="shared" si="8"/>
        <v>0</v>
      </c>
      <c r="X31" s="21">
        <f t="shared" si="8"/>
        <v>0</v>
      </c>
      <c r="Y31" s="21">
        <f t="shared" si="8"/>
        <v>0</v>
      </c>
      <c r="Z31" s="21">
        <f t="shared" si="8"/>
        <v>0</v>
      </c>
      <c r="AA31" s="21">
        <f t="shared" si="8"/>
        <v>0</v>
      </c>
      <c r="AB31" s="21">
        <f t="shared" ca="1" si="8"/>
        <v>-119778.25064847653</v>
      </c>
      <c r="AC31" s="21">
        <f t="shared" ca="1" si="8"/>
        <v>-103407.60719471557</v>
      </c>
      <c r="AD31" s="21">
        <f t="shared" ca="1" si="8"/>
        <v>-86927.093651624338</v>
      </c>
      <c r="AE31" s="21">
        <f t="shared" ca="1" si="8"/>
        <v>-70335.972636032675</v>
      </c>
      <c r="AF31" s="21">
        <f t="shared" ca="1" si="8"/>
        <v>-53633.501815890311</v>
      </c>
      <c r="AG31" s="21">
        <f t="shared" ca="1" si="8"/>
        <v>-36818.933877052914</v>
      </c>
      <c r="AH31" s="21">
        <f t="shared" ca="1" si="8"/>
        <v>-19891.516489845031</v>
      </c>
      <c r="AI31" s="21">
        <f t="shared" ca="1" si="8"/>
        <v>-2850.3048570559185</v>
      </c>
      <c r="AJ31" s="21">
        <f t="shared" ca="1" si="8"/>
        <v>0</v>
      </c>
      <c r="AK31" s="21">
        <f t="shared" ca="1" si="8"/>
        <v>0</v>
      </c>
      <c r="AL31" s="21">
        <f t="shared" ca="1" si="8"/>
        <v>0</v>
      </c>
      <c r="AM31" s="21">
        <f t="shared" si="8"/>
        <v>0</v>
      </c>
      <c r="AN31" s="21">
        <f t="shared" si="8"/>
        <v>0</v>
      </c>
      <c r="AO31" s="21">
        <f t="shared" si="8"/>
        <v>0</v>
      </c>
      <c r="AP31" s="21">
        <f t="shared" si="8"/>
        <v>0</v>
      </c>
      <c r="AQ31" s="21">
        <f t="shared" si="8"/>
        <v>0</v>
      </c>
      <c r="AR31" s="21">
        <f t="shared" si="8"/>
        <v>0</v>
      </c>
      <c r="AS31" s="21">
        <f t="shared" si="8"/>
        <v>0</v>
      </c>
      <c r="AT31" s="21">
        <f t="shared" si="8"/>
        <v>0</v>
      </c>
      <c r="AU31" s="21">
        <f t="shared" si="8"/>
        <v>0</v>
      </c>
      <c r="AV31" s="21">
        <f t="shared" si="8"/>
        <v>0</v>
      </c>
      <c r="AW31" s="21">
        <f t="shared" si="8"/>
        <v>0</v>
      </c>
      <c r="AX31" s="21">
        <f t="shared" si="8"/>
        <v>0</v>
      </c>
      <c r="AY31" s="21">
        <f t="shared" si="8"/>
        <v>0</v>
      </c>
      <c r="AZ31" s="21">
        <f t="shared" si="8"/>
        <v>0</v>
      </c>
      <c r="BA31" s="21">
        <f t="shared" si="8"/>
        <v>0</v>
      </c>
      <c r="BB31" s="21">
        <f t="shared" si="8"/>
        <v>0</v>
      </c>
      <c r="BC31" s="21">
        <f t="shared" si="8"/>
        <v>0</v>
      </c>
      <c r="BD31" s="21">
        <f t="shared" si="8"/>
        <v>0</v>
      </c>
      <c r="BE31" s="21">
        <f t="shared" si="8"/>
        <v>0</v>
      </c>
      <c r="BF31" s="21">
        <f t="shared" si="8"/>
        <v>0</v>
      </c>
      <c r="BG31" s="21">
        <f t="shared" si="8"/>
        <v>0</v>
      </c>
      <c r="BH31" s="21">
        <f t="shared" si="8"/>
        <v>0</v>
      </c>
      <c r="BI31" s="21">
        <f t="shared" si="8"/>
        <v>0</v>
      </c>
      <c r="BJ31" s="21">
        <f t="shared" si="8"/>
        <v>0</v>
      </c>
      <c r="BK31" s="21">
        <f t="shared" si="8"/>
        <v>0</v>
      </c>
    </row>
    <row r="32" spans="1:63" s="5" customFormat="1">
      <c r="A32" s="13" t="s">
        <v>205</v>
      </c>
      <c r="B32" s="23">
        <f ca="1">SUM(C32:BK32)</f>
        <v>-1630677.6397170506</v>
      </c>
      <c r="C32" s="26">
        <f ca="1">SUM(C29:C31)</f>
        <v>-208996.07310861073</v>
      </c>
      <c r="D32" s="26">
        <f t="shared" ref="D32:BK32" ca="1" si="9">SUM(D29:D31)</f>
        <v>0</v>
      </c>
      <c r="E32" s="26">
        <f t="shared" ca="1" si="9"/>
        <v>0</v>
      </c>
      <c r="F32" s="26">
        <f t="shared" ca="1" si="9"/>
        <v>0</v>
      </c>
      <c r="G32" s="26">
        <f t="shared" ca="1" si="9"/>
        <v>0</v>
      </c>
      <c r="H32" s="26">
        <f t="shared" ca="1" si="9"/>
        <v>0</v>
      </c>
      <c r="I32" s="26">
        <f t="shared" ca="1" si="9"/>
        <v>0</v>
      </c>
      <c r="J32" s="26">
        <f t="shared" ca="1" si="9"/>
        <v>0</v>
      </c>
      <c r="K32" s="26">
        <f t="shared" ca="1" si="9"/>
        <v>0</v>
      </c>
      <c r="L32" s="26">
        <f t="shared" ca="1" si="9"/>
        <v>0</v>
      </c>
      <c r="M32" s="26">
        <f t="shared" ca="1" si="9"/>
        <v>0</v>
      </c>
      <c r="N32" s="26">
        <f t="shared" ca="1" si="9"/>
        <v>0</v>
      </c>
      <c r="O32" s="26">
        <f t="shared" ca="1" si="9"/>
        <v>-8301.7758744822113</v>
      </c>
      <c r="P32" s="26">
        <f t="shared" ca="1" si="9"/>
        <v>-18559.371599153739</v>
      </c>
      <c r="Q32" s="26">
        <f t="shared" ca="1" si="9"/>
        <v>-28885.810249392802</v>
      </c>
      <c r="R32" s="26">
        <f t="shared" ca="1" si="9"/>
        <v>-39281.553858234627</v>
      </c>
      <c r="S32" s="26">
        <f t="shared" ca="1" si="9"/>
        <v>-49747.067559607451</v>
      </c>
      <c r="T32" s="26">
        <f t="shared" ca="1" si="9"/>
        <v>-60282.819609143888</v>
      </c>
      <c r="U32" s="26">
        <f t="shared" ca="1" si="9"/>
        <v>-70889.281405131944</v>
      </c>
      <c r="V32" s="26">
        <f t="shared" ca="1" si="9"/>
        <v>-81566.92750960667</v>
      </c>
      <c r="W32" s="26">
        <f t="shared" ca="1" si="9"/>
        <v>-92316.235669583373</v>
      </c>
      <c r="X32" s="26">
        <f t="shared" ca="1" si="9"/>
        <v>-103137.68683843338</v>
      </c>
      <c r="Y32" s="26">
        <f t="shared" ca="1" si="9"/>
        <v>-114031.76519740303</v>
      </c>
      <c r="Z32" s="26">
        <f t="shared" ca="1" si="9"/>
        <v>-124998.95817727748</v>
      </c>
      <c r="AA32" s="26">
        <f t="shared" ca="1" si="9"/>
        <v>-136039.75648018962</v>
      </c>
      <c r="AB32" s="26">
        <f t="shared" ca="1" si="9"/>
        <v>-119778.25064847653</v>
      </c>
      <c r="AC32" s="26">
        <f t="shared" ca="1" si="9"/>
        <v>-103407.60719471557</v>
      </c>
      <c r="AD32" s="26">
        <f t="shared" ca="1" si="9"/>
        <v>-86927.093651624338</v>
      </c>
      <c r="AE32" s="26">
        <f t="shared" ca="1" si="9"/>
        <v>-70335.972636032675</v>
      </c>
      <c r="AF32" s="26">
        <f t="shared" ca="1" si="9"/>
        <v>-53633.501815890311</v>
      </c>
      <c r="AG32" s="26">
        <f t="shared" ca="1" si="9"/>
        <v>-36818.933877052914</v>
      </c>
      <c r="AH32" s="26">
        <f t="shared" ca="1" si="9"/>
        <v>-19891.516489845031</v>
      </c>
      <c r="AI32" s="26">
        <f t="shared" ca="1" si="9"/>
        <v>-2850.3048570559185</v>
      </c>
      <c r="AJ32" s="26">
        <f t="shared" ca="1" si="9"/>
        <v>0</v>
      </c>
      <c r="AK32" s="26">
        <f t="shared" ca="1" si="9"/>
        <v>0</v>
      </c>
      <c r="AL32" s="26">
        <f t="shared" ca="1" si="9"/>
        <v>0</v>
      </c>
      <c r="AM32" s="26">
        <f t="shared" si="9"/>
        <v>0</v>
      </c>
      <c r="AN32" s="26">
        <f t="shared" si="9"/>
        <v>0</v>
      </c>
      <c r="AO32" s="26">
        <f t="shared" si="9"/>
        <v>0</v>
      </c>
      <c r="AP32" s="26">
        <f t="shared" si="9"/>
        <v>0</v>
      </c>
      <c r="AQ32" s="26">
        <f t="shared" si="9"/>
        <v>0</v>
      </c>
      <c r="AR32" s="26">
        <f t="shared" si="9"/>
        <v>0</v>
      </c>
      <c r="AS32" s="26">
        <f t="shared" si="9"/>
        <v>0</v>
      </c>
      <c r="AT32" s="26">
        <f t="shared" si="9"/>
        <v>0</v>
      </c>
      <c r="AU32" s="26">
        <f t="shared" si="9"/>
        <v>0</v>
      </c>
      <c r="AV32" s="26">
        <f t="shared" si="9"/>
        <v>0</v>
      </c>
      <c r="AW32" s="26">
        <f t="shared" si="9"/>
        <v>0</v>
      </c>
      <c r="AX32" s="26">
        <f t="shared" si="9"/>
        <v>0</v>
      </c>
      <c r="AY32" s="26">
        <f t="shared" si="9"/>
        <v>0</v>
      </c>
      <c r="AZ32" s="26">
        <f t="shared" si="9"/>
        <v>0</v>
      </c>
      <c r="BA32" s="26">
        <f t="shared" si="9"/>
        <v>0</v>
      </c>
      <c r="BB32" s="26">
        <f t="shared" si="9"/>
        <v>0</v>
      </c>
      <c r="BC32" s="26">
        <f t="shared" si="9"/>
        <v>0</v>
      </c>
      <c r="BD32" s="26">
        <f t="shared" si="9"/>
        <v>0</v>
      </c>
      <c r="BE32" s="26">
        <f t="shared" si="9"/>
        <v>0</v>
      </c>
      <c r="BF32" s="26">
        <f t="shared" si="9"/>
        <v>0</v>
      </c>
      <c r="BG32" s="26">
        <f t="shared" si="9"/>
        <v>0</v>
      </c>
      <c r="BH32" s="26">
        <f t="shared" si="9"/>
        <v>0</v>
      </c>
      <c r="BI32" s="26">
        <f t="shared" si="9"/>
        <v>0</v>
      </c>
      <c r="BJ32" s="26">
        <f t="shared" si="9"/>
        <v>0</v>
      </c>
      <c r="BK32" s="26">
        <f t="shared" si="9"/>
        <v>0</v>
      </c>
    </row>
    <row r="33" spans="1:63" s="5" customFormat="1">
      <c r="A33" s="11"/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1:63" s="5" customFormat="1" ht="16" thickBot="1">
      <c r="A34" s="14" t="s">
        <v>206</v>
      </c>
      <c r="B34" s="27">
        <f ca="1">SUM(C34:BK34)</f>
        <v>-34832677.639717042</v>
      </c>
      <c r="C34" s="28">
        <f ca="1">C26+C22+C15+C32</f>
        <v>-5329076.0731086107</v>
      </c>
      <c r="D34" s="28">
        <f t="shared" ref="D34:BK34" ca="1" si="10">D26+D22+D15+D32</f>
        <v>-120080</v>
      </c>
      <c r="E34" s="28">
        <f t="shared" ca="1" si="10"/>
        <v>-120080</v>
      </c>
      <c r="F34" s="28">
        <f t="shared" ca="1" si="10"/>
        <v>-120080</v>
      </c>
      <c r="G34" s="28">
        <f t="shared" ca="1" si="10"/>
        <v>-120080</v>
      </c>
      <c r="H34" s="28">
        <f t="shared" ca="1" si="10"/>
        <v>-120080</v>
      </c>
      <c r="I34" s="28">
        <f t="shared" ca="1" si="10"/>
        <v>-120080</v>
      </c>
      <c r="J34" s="28">
        <f t="shared" ca="1" si="10"/>
        <v>-1520080</v>
      </c>
      <c r="K34" s="28">
        <f t="shared" ca="1" si="10"/>
        <v>-1520080</v>
      </c>
      <c r="L34" s="28">
        <f t="shared" ca="1" si="10"/>
        <v>-1520080</v>
      </c>
      <c r="M34" s="28">
        <f t="shared" ca="1" si="10"/>
        <v>-1520080</v>
      </c>
      <c r="N34" s="28">
        <f t="shared" ca="1" si="10"/>
        <v>-1520080</v>
      </c>
      <c r="O34" s="28">
        <f t="shared" ca="1" si="10"/>
        <v>-1528381.7758744822</v>
      </c>
      <c r="P34" s="28">
        <f t="shared" ca="1" si="10"/>
        <v>-1538639.3715991538</v>
      </c>
      <c r="Q34" s="28">
        <f t="shared" ca="1" si="10"/>
        <v>-1548965.8102493929</v>
      </c>
      <c r="R34" s="28">
        <f t="shared" ca="1" si="10"/>
        <v>-1559361.5538582345</v>
      </c>
      <c r="S34" s="28">
        <f t="shared" ca="1" si="10"/>
        <v>-1569827.0675596076</v>
      </c>
      <c r="T34" s="28">
        <f t="shared" ca="1" si="10"/>
        <v>-1580362.8196091438</v>
      </c>
      <c r="U34" s="28">
        <f t="shared" ca="1" si="10"/>
        <v>-1590969.281405132</v>
      </c>
      <c r="V34" s="28">
        <f t="shared" ca="1" si="10"/>
        <v>-1601646.9275096066</v>
      </c>
      <c r="W34" s="28">
        <f t="shared" ca="1" si="10"/>
        <v>-1612396.2356695833</v>
      </c>
      <c r="X34" s="28">
        <f t="shared" ca="1" si="10"/>
        <v>-1623217.6868384334</v>
      </c>
      <c r="Y34" s="28">
        <f t="shared" ca="1" si="10"/>
        <v>-1634111.765197403</v>
      </c>
      <c r="Z34" s="28">
        <f t="shared" ca="1" si="10"/>
        <v>-1645078.9581772776</v>
      </c>
      <c r="AA34" s="28">
        <f t="shared" ca="1" si="10"/>
        <v>-1656119.7564801895</v>
      </c>
      <c r="AB34" s="28">
        <f t="shared" ca="1" si="10"/>
        <v>-119778.25064847653</v>
      </c>
      <c r="AC34" s="28">
        <f t="shared" ca="1" si="10"/>
        <v>-103407.60719471557</v>
      </c>
      <c r="AD34" s="28">
        <f t="shared" ca="1" si="10"/>
        <v>-86927.093651624338</v>
      </c>
      <c r="AE34" s="28">
        <f t="shared" ca="1" si="10"/>
        <v>-70335.972636032675</v>
      </c>
      <c r="AF34" s="28">
        <f t="shared" ca="1" si="10"/>
        <v>-53633.501815890311</v>
      </c>
      <c r="AG34" s="28">
        <f t="shared" ca="1" si="10"/>
        <v>-36818.933877052914</v>
      </c>
      <c r="AH34" s="28">
        <f t="shared" ca="1" si="10"/>
        <v>-19891.516489845031</v>
      </c>
      <c r="AI34" s="28">
        <f t="shared" ca="1" si="10"/>
        <v>-2850.3048570559185</v>
      </c>
      <c r="AJ34" s="28">
        <f t="shared" ca="1" si="10"/>
        <v>0</v>
      </c>
      <c r="AK34" s="28">
        <f t="shared" ca="1" si="10"/>
        <v>0</v>
      </c>
      <c r="AL34" s="28">
        <f t="shared" ca="1" si="10"/>
        <v>0</v>
      </c>
      <c r="AM34" s="28">
        <f t="shared" si="10"/>
        <v>0</v>
      </c>
      <c r="AN34" s="28">
        <f t="shared" si="10"/>
        <v>0</v>
      </c>
      <c r="AO34" s="28">
        <f t="shared" si="10"/>
        <v>0</v>
      </c>
      <c r="AP34" s="28">
        <f t="shared" si="10"/>
        <v>0</v>
      </c>
      <c r="AQ34" s="28">
        <f t="shared" si="10"/>
        <v>0</v>
      </c>
      <c r="AR34" s="28">
        <f t="shared" si="10"/>
        <v>0</v>
      </c>
      <c r="AS34" s="28">
        <f t="shared" si="10"/>
        <v>0</v>
      </c>
      <c r="AT34" s="28">
        <f t="shared" si="10"/>
        <v>0</v>
      </c>
      <c r="AU34" s="28">
        <f t="shared" si="10"/>
        <v>0</v>
      </c>
      <c r="AV34" s="28">
        <f t="shared" si="10"/>
        <v>0</v>
      </c>
      <c r="AW34" s="28">
        <f t="shared" si="10"/>
        <v>0</v>
      </c>
      <c r="AX34" s="28">
        <f t="shared" si="10"/>
        <v>0</v>
      </c>
      <c r="AY34" s="28">
        <f t="shared" si="10"/>
        <v>0</v>
      </c>
      <c r="AZ34" s="28">
        <f t="shared" si="10"/>
        <v>0</v>
      </c>
      <c r="BA34" s="28">
        <f t="shared" si="10"/>
        <v>0</v>
      </c>
      <c r="BB34" s="28">
        <f t="shared" si="10"/>
        <v>0</v>
      </c>
      <c r="BC34" s="28">
        <f t="shared" si="10"/>
        <v>0</v>
      </c>
      <c r="BD34" s="28">
        <f t="shared" si="10"/>
        <v>0</v>
      </c>
      <c r="BE34" s="28">
        <f t="shared" si="10"/>
        <v>0</v>
      </c>
      <c r="BF34" s="28">
        <f t="shared" si="10"/>
        <v>0</v>
      </c>
      <c r="BG34" s="28">
        <f t="shared" si="10"/>
        <v>0</v>
      </c>
      <c r="BH34" s="28">
        <f t="shared" si="10"/>
        <v>0</v>
      </c>
      <c r="BI34" s="28">
        <f t="shared" si="10"/>
        <v>0</v>
      </c>
      <c r="BJ34" s="28">
        <f t="shared" si="10"/>
        <v>0</v>
      </c>
      <c r="BK34" s="28">
        <f t="shared" si="10"/>
        <v>0</v>
      </c>
    </row>
    <row r="35" spans="1:63">
      <c r="A35" s="12" t="s">
        <v>207</v>
      </c>
      <c r="B35" s="24">
        <f ca="1">Inputs!R78</f>
        <v>34832678.226614043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</row>
    <row r="36" spans="1:63">
      <c r="A36" s="12"/>
      <c r="B36" s="2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1:63">
      <c r="A37" s="373" t="s">
        <v>208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</row>
    <row r="38" spans="1:6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</row>
    <row r="39" spans="1:63">
      <c r="A39" s="5" t="s">
        <v>36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</row>
    <row r="40" spans="1:63">
      <c r="A40" s="11" t="s">
        <v>209</v>
      </c>
      <c r="C40" s="29">
        <f ca="1">Inputs!R82</f>
        <v>13933072.63193325</v>
      </c>
      <c r="D40" s="17">
        <f t="shared" ref="D40:BB40" ca="1" si="11">C42</f>
        <v>8603992.5940611102</v>
      </c>
      <c r="E40" s="17">
        <f t="shared" ca="1" si="11"/>
        <v>8483914.1759356</v>
      </c>
      <c r="F40" s="17">
        <f t="shared" ca="1" si="11"/>
        <v>8363839.517230276</v>
      </c>
      <c r="G40" s="17">
        <f t="shared" ca="1" si="11"/>
        <v>8243750.3592011407</v>
      </c>
      <c r="H40" s="17">
        <f t="shared" ca="1" si="11"/>
        <v>8123680.9980425853</v>
      </c>
      <c r="I40" s="17">
        <f t="shared" ca="1" si="11"/>
        <v>8003593.2700962089</v>
      </c>
      <c r="J40" s="17">
        <f t="shared" ca="1" si="11"/>
        <v>7883506.9993174374</v>
      </c>
      <c r="K40" s="17">
        <f t="shared" ca="1" si="11"/>
        <v>6363448.3186468817</v>
      </c>
      <c r="L40" s="17">
        <f t="shared" ca="1" si="11"/>
        <v>4843349.1394906472</v>
      </c>
      <c r="M40" s="17">
        <f t="shared" ca="1" si="11"/>
        <v>3323276.7729410902</v>
      </c>
      <c r="N40" s="17">
        <f t="shared" ca="1" si="11"/>
        <v>1803196.0299978741</v>
      </c>
      <c r="O40" s="17">
        <f t="shared" ca="1" si="11"/>
        <v>283117.04354299605</v>
      </c>
      <c r="P40" s="17">
        <f t="shared" ca="1" si="11"/>
        <v>0</v>
      </c>
      <c r="Q40" s="17">
        <f t="shared" ca="1" si="11"/>
        <v>0</v>
      </c>
      <c r="R40" s="17">
        <f t="shared" ca="1" si="11"/>
        <v>0</v>
      </c>
      <c r="S40" s="17">
        <f t="shared" ca="1" si="11"/>
        <v>0</v>
      </c>
      <c r="T40" s="17">
        <f t="shared" ca="1" si="11"/>
        <v>0</v>
      </c>
      <c r="U40" s="17">
        <f t="shared" ca="1" si="11"/>
        <v>0</v>
      </c>
      <c r="V40" s="17">
        <f t="shared" ca="1" si="11"/>
        <v>0</v>
      </c>
      <c r="W40" s="17">
        <f t="shared" ca="1" si="11"/>
        <v>0</v>
      </c>
      <c r="X40" s="17">
        <f t="shared" ca="1" si="11"/>
        <v>0</v>
      </c>
      <c r="Y40" s="17">
        <f t="shared" ca="1" si="11"/>
        <v>0</v>
      </c>
      <c r="Z40" s="17">
        <f t="shared" ca="1" si="11"/>
        <v>0</v>
      </c>
      <c r="AA40" s="17">
        <f t="shared" ca="1" si="11"/>
        <v>0</v>
      </c>
      <c r="AB40" s="17">
        <f t="shared" ca="1" si="11"/>
        <v>0</v>
      </c>
      <c r="AC40" s="17">
        <f t="shared" ca="1" si="11"/>
        <v>0</v>
      </c>
      <c r="AD40" s="17">
        <f t="shared" ca="1" si="11"/>
        <v>0</v>
      </c>
      <c r="AE40" s="17">
        <f t="shared" ca="1" si="11"/>
        <v>0</v>
      </c>
      <c r="AF40" s="17">
        <f t="shared" ca="1" si="11"/>
        <v>0</v>
      </c>
      <c r="AG40" s="17">
        <f t="shared" ca="1" si="11"/>
        <v>0</v>
      </c>
      <c r="AH40" s="17">
        <f t="shared" ca="1" si="11"/>
        <v>0</v>
      </c>
      <c r="AI40" s="17">
        <f t="shared" ca="1" si="11"/>
        <v>0</v>
      </c>
      <c r="AJ40" s="17">
        <f t="shared" ca="1" si="11"/>
        <v>0</v>
      </c>
      <c r="AK40" s="17">
        <f t="shared" ca="1" si="11"/>
        <v>0</v>
      </c>
      <c r="AL40" s="17">
        <f t="shared" ca="1" si="11"/>
        <v>0</v>
      </c>
      <c r="AM40" s="17">
        <f t="shared" ca="1" si="11"/>
        <v>0</v>
      </c>
      <c r="AN40" s="17">
        <f t="shared" ca="1" si="11"/>
        <v>0</v>
      </c>
      <c r="AO40" s="17">
        <f t="shared" ca="1" si="11"/>
        <v>0</v>
      </c>
      <c r="AP40" s="17">
        <f t="shared" ca="1" si="11"/>
        <v>0</v>
      </c>
      <c r="AQ40" s="17">
        <f t="shared" ca="1" si="11"/>
        <v>0</v>
      </c>
      <c r="AR40" s="17">
        <f t="shared" ca="1" si="11"/>
        <v>0</v>
      </c>
      <c r="AS40" s="17">
        <f t="shared" ca="1" si="11"/>
        <v>0</v>
      </c>
      <c r="AT40" s="17">
        <f t="shared" ca="1" si="11"/>
        <v>0</v>
      </c>
      <c r="AU40" s="17">
        <f t="shared" ca="1" si="11"/>
        <v>0</v>
      </c>
      <c r="AV40" s="17">
        <f t="shared" ca="1" si="11"/>
        <v>0</v>
      </c>
      <c r="AW40" s="17">
        <f t="shared" ca="1" si="11"/>
        <v>0</v>
      </c>
      <c r="AX40" s="17">
        <f t="shared" ca="1" si="11"/>
        <v>0</v>
      </c>
      <c r="AY40" s="17">
        <f t="shared" ca="1" si="11"/>
        <v>0</v>
      </c>
      <c r="AZ40" s="17">
        <f t="shared" ca="1" si="11"/>
        <v>0</v>
      </c>
      <c r="BA40" s="17">
        <f t="shared" ca="1" si="11"/>
        <v>0</v>
      </c>
      <c r="BB40" s="17">
        <f t="shared" ca="1" si="11"/>
        <v>0</v>
      </c>
      <c r="BC40" s="17">
        <f t="shared" ref="BC40" ca="1" si="12">BB42</f>
        <v>0</v>
      </c>
      <c r="BD40" s="17">
        <f t="shared" ref="BD40" ca="1" si="13">BC42</f>
        <v>0</v>
      </c>
      <c r="BE40" s="17">
        <f t="shared" ref="BE40" ca="1" si="14">BD42</f>
        <v>0</v>
      </c>
      <c r="BF40" s="17">
        <f t="shared" ref="BF40" ca="1" si="15">BE42</f>
        <v>0</v>
      </c>
      <c r="BG40" s="17">
        <f t="shared" ref="BG40" ca="1" si="16">BF42</f>
        <v>0</v>
      </c>
      <c r="BH40" s="17">
        <f t="shared" ref="BH40" ca="1" si="17">BG42</f>
        <v>0</v>
      </c>
      <c r="BI40" s="17">
        <f t="shared" ref="BI40" ca="1" si="18">BH42</f>
        <v>0</v>
      </c>
      <c r="BJ40" s="17">
        <f t="shared" ref="BJ40" ca="1" si="19">BI42</f>
        <v>0</v>
      </c>
      <c r="BK40" s="17">
        <f t="shared" ref="BK40" ca="1" si="20">BJ42</f>
        <v>0</v>
      </c>
    </row>
    <row r="41" spans="1:63">
      <c r="A41" s="11" t="s">
        <v>210</v>
      </c>
      <c r="B41" s="30">
        <f ca="1">SUM(C41:BK41)</f>
        <v>-13933071.467827972</v>
      </c>
      <c r="C41" s="17">
        <f t="shared" ref="C41:BB41" ca="1" si="21">IF(-C34&gt;C40,-C40,C34)</f>
        <v>-5329076.0731086107</v>
      </c>
      <c r="D41" s="17">
        <f t="shared" ca="1" si="21"/>
        <v>-120080</v>
      </c>
      <c r="E41" s="17">
        <f t="shared" ca="1" si="21"/>
        <v>-120080</v>
      </c>
      <c r="F41" s="17">
        <f t="shared" ca="1" si="21"/>
        <v>-120080</v>
      </c>
      <c r="G41" s="17">
        <f t="shared" ca="1" si="21"/>
        <v>-120080</v>
      </c>
      <c r="H41" s="17">
        <f t="shared" ca="1" si="21"/>
        <v>-120080</v>
      </c>
      <c r="I41" s="17">
        <f t="shared" ca="1" si="21"/>
        <v>-120080</v>
      </c>
      <c r="J41" s="17">
        <f t="shared" ca="1" si="21"/>
        <v>-1520080</v>
      </c>
      <c r="K41" s="17">
        <f t="shared" ca="1" si="21"/>
        <v>-1520080</v>
      </c>
      <c r="L41" s="17">
        <f t="shared" ca="1" si="21"/>
        <v>-1520080</v>
      </c>
      <c r="M41" s="17">
        <f t="shared" ca="1" si="21"/>
        <v>-1520080</v>
      </c>
      <c r="N41" s="17">
        <f t="shared" ca="1" si="21"/>
        <v>-1520080</v>
      </c>
      <c r="O41" s="17">
        <f t="shared" ca="1" si="21"/>
        <v>-283117.04354299605</v>
      </c>
      <c r="P41" s="17">
        <f t="shared" ca="1" si="21"/>
        <v>0</v>
      </c>
      <c r="Q41" s="17">
        <f t="shared" ca="1" si="21"/>
        <v>0</v>
      </c>
      <c r="R41" s="17">
        <f t="shared" ca="1" si="21"/>
        <v>0</v>
      </c>
      <c r="S41" s="17">
        <f t="shared" ca="1" si="21"/>
        <v>0</v>
      </c>
      <c r="T41" s="17">
        <f t="shared" ca="1" si="21"/>
        <v>0</v>
      </c>
      <c r="U41" s="17">
        <f t="shared" ca="1" si="21"/>
        <v>0</v>
      </c>
      <c r="V41" s="17">
        <f t="shared" ca="1" si="21"/>
        <v>0</v>
      </c>
      <c r="W41" s="17">
        <f t="shared" ca="1" si="21"/>
        <v>0</v>
      </c>
      <c r="X41" s="17">
        <f t="shared" ca="1" si="21"/>
        <v>0</v>
      </c>
      <c r="Y41" s="17">
        <f t="shared" ca="1" si="21"/>
        <v>0</v>
      </c>
      <c r="Z41" s="17">
        <f t="shared" ca="1" si="21"/>
        <v>0</v>
      </c>
      <c r="AA41" s="17">
        <f t="shared" ca="1" si="21"/>
        <v>0</v>
      </c>
      <c r="AB41" s="17">
        <f t="shared" ca="1" si="21"/>
        <v>0</v>
      </c>
      <c r="AC41" s="17">
        <f t="shared" ca="1" si="21"/>
        <v>0</v>
      </c>
      <c r="AD41" s="17">
        <f t="shared" ca="1" si="21"/>
        <v>0</v>
      </c>
      <c r="AE41" s="17">
        <f t="shared" ca="1" si="21"/>
        <v>0</v>
      </c>
      <c r="AF41" s="17">
        <f t="shared" ca="1" si="21"/>
        <v>0</v>
      </c>
      <c r="AG41" s="17">
        <f t="shared" ca="1" si="21"/>
        <v>0</v>
      </c>
      <c r="AH41" s="17">
        <f t="shared" ca="1" si="21"/>
        <v>0</v>
      </c>
      <c r="AI41" s="17">
        <f t="shared" ca="1" si="21"/>
        <v>0</v>
      </c>
      <c r="AJ41" s="17">
        <f t="shared" ca="1" si="21"/>
        <v>0</v>
      </c>
      <c r="AK41" s="17">
        <f t="shared" ca="1" si="21"/>
        <v>0</v>
      </c>
      <c r="AL41" s="17">
        <f t="shared" ca="1" si="21"/>
        <v>0</v>
      </c>
      <c r="AM41" s="17">
        <f t="shared" ca="1" si="21"/>
        <v>0</v>
      </c>
      <c r="AN41" s="17">
        <f t="shared" ca="1" si="21"/>
        <v>0</v>
      </c>
      <c r="AO41" s="17">
        <f t="shared" ca="1" si="21"/>
        <v>0</v>
      </c>
      <c r="AP41" s="17">
        <f t="shared" ca="1" si="21"/>
        <v>0</v>
      </c>
      <c r="AQ41" s="17">
        <f t="shared" ca="1" si="21"/>
        <v>0</v>
      </c>
      <c r="AR41" s="17">
        <f t="shared" ca="1" si="21"/>
        <v>0</v>
      </c>
      <c r="AS41" s="17">
        <f t="shared" ca="1" si="21"/>
        <v>0</v>
      </c>
      <c r="AT41" s="17">
        <f t="shared" ca="1" si="21"/>
        <v>0</v>
      </c>
      <c r="AU41" s="17">
        <f t="shared" ca="1" si="21"/>
        <v>0</v>
      </c>
      <c r="AV41" s="17">
        <f t="shared" ca="1" si="21"/>
        <v>0</v>
      </c>
      <c r="AW41" s="17">
        <f t="shared" ca="1" si="21"/>
        <v>0</v>
      </c>
      <c r="AX41" s="17">
        <f t="shared" ca="1" si="21"/>
        <v>0</v>
      </c>
      <c r="AY41" s="17">
        <f t="shared" ca="1" si="21"/>
        <v>0</v>
      </c>
      <c r="AZ41" s="17">
        <f t="shared" ca="1" si="21"/>
        <v>0</v>
      </c>
      <c r="BA41" s="17">
        <f t="shared" ca="1" si="21"/>
        <v>0</v>
      </c>
      <c r="BB41" s="17">
        <f t="shared" ca="1" si="21"/>
        <v>0</v>
      </c>
      <c r="BC41" s="17">
        <f t="shared" ref="BC41:BK41" ca="1" si="22">IF(-BC34&gt;BC40,-BC40,BC34)</f>
        <v>0</v>
      </c>
      <c r="BD41" s="17">
        <f t="shared" ca="1" si="22"/>
        <v>0</v>
      </c>
      <c r="BE41" s="17">
        <f t="shared" ca="1" si="22"/>
        <v>0</v>
      </c>
      <c r="BF41" s="17">
        <f t="shared" ca="1" si="22"/>
        <v>0</v>
      </c>
      <c r="BG41" s="17">
        <f t="shared" ca="1" si="22"/>
        <v>0</v>
      </c>
      <c r="BH41" s="17">
        <f t="shared" ca="1" si="22"/>
        <v>0</v>
      </c>
      <c r="BI41" s="17">
        <f t="shared" ca="1" si="22"/>
        <v>0</v>
      </c>
      <c r="BJ41" s="17">
        <f t="shared" ca="1" si="22"/>
        <v>0</v>
      </c>
      <c r="BK41" s="17">
        <f t="shared" ca="1" si="22"/>
        <v>0</v>
      </c>
    </row>
    <row r="42" spans="1:63">
      <c r="A42" s="11" t="s">
        <v>211</v>
      </c>
      <c r="C42" s="17">
        <f t="shared" ref="C42:AH42" ca="1" si="23">SUM(C40:C41)</f>
        <v>8603996.5588246398</v>
      </c>
      <c r="D42" s="17">
        <f t="shared" ca="1" si="23"/>
        <v>8483912.5940611102</v>
      </c>
      <c r="E42" s="17">
        <f t="shared" ca="1" si="23"/>
        <v>8363834.1759356</v>
      </c>
      <c r="F42" s="17">
        <f t="shared" ca="1" si="23"/>
        <v>8243759.517230276</v>
      </c>
      <c r="G42" s="17">
        <f t="shared" ca="1" si="23"/>
        <v>8123670.3592011407</v>
      </c>
      <c r="H42" s="17">
        <f t="shared" ca="1" si="23"/>
        <v>8003600.9980425853</v>
      </c>
      <c r="I42" s="17">
        <f t="shared" ca="1" si="23"/>
        <v>7883513.2700962089</v>
      </c>
      <c r="J42" s="17">
        <f t="shared" ca="1" si="23"/>
        <v>6363426.9993174374</v>
      </c>
      <c r="K42" s="17">
        <f t="shared" ca="1" si="23"/>
        <v>4843368.3186468817</v>
      </c>
      <c r="L42" s="17">
        <f t="shared" ca="1" si="23"/>
        <v>3323269.1394906472</v>
      </c>
      <c r="M42" s="17">
        <f t="shared" ca="1" si="23"/>
        <v>1803196.7729410902</v>
      </c>
      <c r="N42" s="17">
        <f t="shared" ca="1" si="23"/>
        <v>283116.02999787405</v>
      </c>
      <c r="O42" s="17">
        <f t="shared" ca="1" si="23"/>
        <v>0</v>
      </c>
      <c r="P42" s="17">
        <f t="shared" ca="1" si="23"/>
        <v>0</v>
      </c>
      <c r="Q42" s="17">
        <f t="shared" ca="1" si="23"/>
        <v>0</v>
      </c>
      <c r="R42" s="17">
        <f t="shared" ca="1" si="23"/>
        <v>0</v>
      </c>
      <c r="S42" s="17">
        <f t="shared" ca="1" si="23"/>
        <v>0</v>
      </c>
      <c r="T42" s="17">
        <f t="shared" ca="1" si="23"/>
        <v>0</v>
      </c>
      <c r="U42" s="17">
        <f t="shared" ca="1" si="23"/>
        <v>0</v>
      </c>
      <c r="V42" s="17">
        <f t="shared" ca="1" si="23"/>
        <v>0</v>
      </c>
      <c r="W42" s="17">
        <f t="shared" ca="1" si="23"/>
        <v>0</v>
      </c>
      <c r="X42" s="17">
        <f t="shared" ca="1" si="23"/>
        <v>0</v>
      </c>
      <c r="Y42" s="17">
        <f t="shared" ca="1" si="23"/>
        <v>0</v>
      </c>
      <c r="Z42" s="17">
        <f t="shared" ca="1" si="23"/>
        <v>0</v>
      </c>
      <c r="AA42" s="17">
        <f t="shared" ca="1" si="23"/>
        <v>0</v>
      </c>
      <c r="AB42" s="17">
        <f t="shared" ca="1" si="23"/>
        <v>0</v>
      </c>
      <c r="AC42" s="17">
        <f t="shared" ca="1" si="23"/>
        <v>0</v>
      </c>
      <c r="AD42" s="17">
        <f t="shared" ca="1" si="23"/>
        <v>0</v>
      </c>
      <c r="AE42" s="17">
        <f t="shared" ca="1" si="23"/>
        <v>0</v>
      </c>
      <c r="AF42" s="17">
        <f t="shared" ca="1" si="23"/>
        <v>0</v>
      </c>
      <c r="AG42" s="17">
        <f t="shared" ca="1" si="23"/>
        <v>0</v>
      </c>
      <c r="AH42" s="17">
        <f t="shared" ca="1" si="23"/>
        <v>0</v>
      </c>
      <c r="AI42" s="17">
        <f t="shared" ref="AI42:BB42" ca="1" si="24">SUM(AI40:AI41)</f>
        <v>0</v>
      </c>
      <c r="AJ42" s="17">
        <f t="shared" ca="1" si="24"/>
        <v>0</v>
      </c>
      <c r="AK42" s="17">
        <f t="shared" ca="1" si="24"/>
        <v>0</v>
      </c>
      <c r="AL42" s="17">
        <f t="shared" ca="1" si="24"/>
        <v>0</v>
      </c>
      <c r="AM42" s="17">
        <f t="shared" ca="1" si="24"/>
        <v>0</v>
      </c>
      <c r="AN42" s="17">
        <f t="shared" ca="1" si="24"/>
        <v>0</v>
      </c>
      <c r="AO42" s="17">
        <f t="shared" ca="1" si="24"/>
        <v>0</v>
      </c>
      <c r="AP42" s="17">
        <f t="shared" ca="1" si="24"/>
        <v>0</v>
      </c>
      <c r="AQ42" s="17">
        <f t="shared" ca="1" si="24"/>
        <v>0</v>
      </c>
      <c r="AR42" s="17">
        <f t="shared" ca="1" si="24"/>
        <v>0</v>
      </c>
      <c r="AS42" s="17">
        <f t="shared" ca="1" si="24"/>
        <v>0</v>
      </c>
      <c r="AT42" s="17">
        <f t="shared" ca="1" si="24"/>
        <v>0</v>
      </c>
      <c r="AU42" s="17">
        <f t="shared" ca="1" si="24"/>
        <v>0</v>
      </c>
      <c r="AV42" s="17">
        <f t="shared" ca="1" si="24"/>
        <v>0</v>
      </c>
      <c r="AW42" s="17">
        <f t="shared" ca="1" si="24"/>
        <v>0</v>
      </c>
      <c r="AX42" s="17">
        <f t="shared" ca="1" si="24"/>
        <v>0</v>
      </c>
      <c r="AY42" s="17">
        <f t="shared" ca="1" si="24"/>
        <v>0</v>
      </c>
      <c r="AZ42" s="17">
        <f t="shared" ca="1" si="24"/>
        <v>0</v>
      </c>
      <c r="BA42" s="17">
        <f t="shared" ca="1" si="24"/>
        <v>0</v>
      </c>
      <c r="BB42" s="17">
        <f t="shared" ca="1" si="24"/>
        <v>0</v>
      </c>
      <c r="BC42" s="17">
        <f t="shared" ref="BC42:BK42" ca="1" si="25">SUM(BC40:BC41)</f>
        <v>0</v>
      </c>
      <c r="BD42" s="17">
        <f t="shared" ca="1" si="25"/>
        <v>0</v>
      </c>
      <c r="BE42" s="17">
        <f t="shared" ca="1" si="25"/>
        <v>0</v>
      </c>
      <c r="BF42" s="17">
        <f t="shared" ca="1" si="25"/>
        <v>0</v>
      </c>
      <c r="BG42" s="17">
        <f t="shared" ca="1" si="25"/>
        <v>0</v>
      </c>
      <c r="BH42" s="17">
        <f t="shared" ca="1" si="25"/>
        <v>0</v>
      </c>
      <c r="BI42" s="17">
        <f t="shared" ca="1" si="25"/>
        <v>0</v>
      </c>
      <c r="BJ42" s="17">
        <f t="shared" ca="1" si="25"/>
        <v>0</v>
      </c>
      <c r="BK42" s="17">
        <f t="shared" ca="1" si="25"/>
        <v>0</v>
      </c>
    </row>
    <row r="44" spans="1:63">
      <c r="A44" s="5" t="s">
        <v>212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</row>
    <row r="45" spans="1:63">
      <c r="A45" s="11" t="s">
        <v>213</v>
      </c>
      <c r="C45" s="29">
        <f ca="1">Inputs!R80</f>
        <v>20899605.594680794</v>
      </c>
      <c r="D45" s="17">
        <f ca="1">C47</f>
        <v>20899607.310861073</v>
      </c>
      <c r="E45" s="17">
        <f t="shared" ref="E45:BB45" ca="1" si="26">D47</f>
        <v>20899608.621247541</v>
      </c>
      <c r="F45" s="17">
        <f t="shared" ca="1" si="26"/>
        <v>20899605.42519848</v>
      </c>
      <c r="G45" s="17">
        <f t="shared" ca="1" si="26"/>
        <v>20899609.298381489</v>
      </c>
      <c r="H45" s="17">
        <f t="shared" ca="1" si="26"/>
        <v>20899605.108150344</v>
      </c>
      <c r="I45" s="17">
        <f t="shared" ca="1" si="26"/>
        <v>20899605.777622152</v>
      </c>
      <c r="J45" s="17">
        <f t="shared" ca="1" si="26"/>
        <v>20899613.253221642</v>
      </c>
      <c r="K45" s="17">
        <f t="shared" ca="1" si="26"/>
        <v>20899604.349784303</v>
      </c>
      <c r="L45" s="17">
        <f t="shared" ca="1" si="26"/>
        <v>20899608.693821624</v>
      </c>
      <c r="M45" s="17">
        <f t="shared" ca="1" si="26"/>
        <v>20899608.299490254</v>
      </c>
      <c r="N45" s="17">
        <f t="shared" ca="1" si="26"/>
        <v>20899608.393802755</v>
      </c>
      <c r="O45" s="17">
        <f t="shared" ca="1" si="26"/>
        <v>20899607.534979686</v>
      </c>
      <c r="P45" s="17">
        <f t="shared" ca="1" si="26"/>
        <v>19654341.400352001</v>
      </c>
      <c r="Q45" s="17">
        <f t="shared" ca="1" si="26"/>
        <v>18115702.405756317</v>
      </c>
      <c r="R45" s="17">
        <f t="shared" ca="1" si="26"/>
        <v>16566734.075644694</v>
      </c>
      <c r="S45" s="17">
        <f t="shared" ca="1" si="26"/>
        <v>15007375.557529707</v>
      </c>
      <c r="T45" s="17">
        <f ca="1">S47</f>
        <v>13437534.179150712</v>
      </c>
      <c r="U45" s="17">
        <f ca="1">T47</f>
        <v>11857165.597132592</v>
      </c>
      <c r="V45" s="17">
        <f t="shared" ca="1" si="26"/>
        <v>10266215.624196459</v>
      </c>
      <c r="W45" s="17">
        <f t="shared" ca="1" si="26"/>
        <v>8664545.8241183031</v>
      </c>
      <c r="X45" s="17">
        <f t="shared" ca="1" si="26"/>
        <v>7052182.4261535397</v>
      </c>
      <c r="Y45" s="17">
        <f t="shared" ca="1" si="26"/>
        <v>5428933.4085718133</v>
      </c>
      <c r="Z45" s="17">
        <f t="shared" ca="1" si="26"/>
        <v>3794773.997897774</v>
      </c>
      <c r="AA45" s="17">
        <f t="shared" ca="1" si="26"/>
        <v>2149775.9916454246</v>
      </c>
      <c r="AB45" s="17">
        <f t="shared" ca="1" si="26"/>
        <v>493608.30519495625</v>
      </c>
      <c r="AC45" s="17">
        <f t="shared" ca="1" si="26"/>
        <v>373836.91412681725</v>
      </c>
      <c r="AD45" s="17">
        <f t="shared" ca="1" si="26"/>
        <v>270433.0048026662</v>
      </c>
      <c r="AE45" s="17">
        <f t="shared" ca="1" si="26"/>
        <v>183515.14123388042</v>
      </c>
      <c r="AF45" s="17">
        <f t="shared" ca="1" si="26"/>
        <v>113177.51331380356</v>
      </c>
      <c r="AG45" s="17">
        <f t="shared" ca="1" si="26"/>
        <v>59547.130106328259</v>
      </c>
      <c r="AH45" s="17">
        <f t="shared" ca="1" si="26"/>
        <v>22715.691266450944</v>
      </c>
      <c r="AI45" s="17">
        <f t="shared" ca="1" si="26"/>
        <v>2827.4862247697893</v>
      </c>
      <c r="AJ45" s="17">
        <f t="shared" ca="1" si="26"/>
        <v>0</v>
      </c>
      <c r="AK45" s="17">
        <f t="shared" ca="1" si="26"/>
        <v>0</v>
      </c>
      <c r="AL45" s="17">
        <f t="shared" ca="1" si="26"/>
        <v>0</v>
      </c>
      <c r="AM45" s="17">
        <f t="shared" ca="1" si="26"/>
        <v>0</v>
      </c>
      <c r="AN45" s="17">
        <f t="shared" ca="1" si="26"/>
        <v>99.097855606640223</v>
      </c>
      <c r="AO45" s="17">
        <f t="shared" ca="1" si="26"/>
        <v>244.81363179415348</v>
      </c>
      <c r="AP45" s="17">
        <f t="shared" ca="1" si="26"/>
        <v>0</v>
      </c>
      <c r="AQ45" s="17">
        <f t="shared" ca="1" si="26"/>
        <v>190.66764474526281</v>
      </c>
      <c r="AR45" s="17">
        <f t="shared" ca="1" si="26"/>
        <v>190.32439273357159</v>
      </c>
      <c r="AS45" s="17">
        <f t="shared" ca="1" si="26"/>
        <v>190.45302003319375</v>
      </c>
      <c r="AT45" s="17">
        <f t="shared" ca="1" si="26"/>
        <v>193.62856971198926</v>
      </c>
      <c r="AU45" s="17">
        <f t="shared" ca="1" si="26"/>
        <v>217.94020704831928</v>
      </c>
      <c r="AV45" s="17">
        <f t="shared" ca="1" si="26"/>
        <v>204.84342570329318</v>
      </c>
      <c r="AW45" s="17">
        <f t="shared" ca="1" si="26"/>
        <v>195.02378492095158</v>
      </c>
      <c r="AX45" s="17">
        <f t="shared" ca="1" si="26"/>
        <v>203.13784373732051</v>
      </c>
      <c r="AY45" s="17">
        <f t="shared" ca="1" si="26"/>
        <v>79.1901128104073</v>
      </c>
      <c r="AZ45" s="17">
        <f t="shared" ca="1" si="26"/>
        <v>51.924075971386628</v>
      </c>
      <c r="BA45" s="17">
        <f t="shared" ca="1" si="26"/>
        <v>0</v>
      </c>
      <c r="BB45" s="17">
        <f t="shared" ca="1" si="26"/>
        <v>202.85674721590476</v>
      </c>
      <c r="BC45" s="17">
        <f t="shared" ref="BC45" ca="1" si="27">BB47</f>
        <v>0</v>
      </c>
      <c r="BD45" s="17">
        <f t="shared" ref="BD45" ca="1" si="28">BC47</f>
        <v>0</v>
      </c>
      <c r="BE45" s="17">
        <f t="shared" ref="BE45" ca="1" si="29">BD47</f>
        <v>0</v>
      </c>
      <c r="BF45" s="17">
        <f t="shared" ref="BF45" ca="1" si="30">BE47</f>
        <v>0</v>
      </c>
      <c r="BG45" s="17">
        <f t="shared" ref="BG45" ca="1" si="31">BF47</f>
        <v>0</v>
      </c>
      <c r="BH45" s="17">
        <f t="shared" ref="BH45" ca="1" si="32">BG47</f>
        <v>0</v>
      </c>
      <c r="BI45" s="17">
        <f t="shared" ref="BI45" ca="1" si="33">BH47</f>
        <v>0</v>
      </c>
      <c r="BJ45" s="17">
        <f t="shared" ref="BJ45" ca="1" si="34">BI47</f>
        <v>0</v>
      </c>
      <c r="BK45" s="17">
        <f t="shared" ref="BK45" ca="1" si="35">BJ47</f>
        <v>0</v>
      </c>
    </row>
    <row r="46" spans="1:63">
      <c r="A46" s="11" t="s">
        <v>214</v>
      </c>
      <c r="B46" s="30">
        <f ca="1">SUM(C46:BK46)</f>
        <v>-20899578.644652117</v>
      </c>
      <c r="C46" s="17">
        <f ca="1">IF(C42=0,-MIN(ABS(C34-C41),C45),0)</f>
        <v>0</v>
      </c>
      <c r="D46" s="17">
        <f t="shared" ref="D46:BB46" ca="1" si="36">IF(D42=0,-MIN(ABS(D34-D41),D45),0)</f>
        <v>0</v>
      </c>
      <c r="E46" s="17">
        <f t="shared" ca="1" si="36"/>
        <v>0</v>
      </c>
      <c r="F46" s="17">
        <f t="shared" ca="1" si="36"/>
        <v>0</v>
      </c>
      <c r="G46" s="17">
        <f t="shared" ca="1" si="36"/>
        <v>0</v>
      </c>
      <c r="H46" s="17">
        <f t="shared" ca="1" si="36"/>
        <v>0</v>
      </c>
      <c r="I46" s="17">
        <f t="shared" ca="1" si="36"/>
        <v>0</v>
      </c>
      <c r="J46" s="17">
        <f t="shared" ca="1" si="36"/>
        <v>0</v>
      </c>
      <c r="K46" s="17">
        <f t="shared" ca="1" si="36"/>
        <v>0</v>
      </c>
      <c r="L46" s="17">
        <f t="shared" ca="1" si="36"/>
        <v>0</v>
      </c>
      <c r="M46" s="17">
        <f t="shared" ca="1" si="36"/>
        <v>0</v>
      </c>
      <c r="N46" s="17">
        <f t="shared" ca="1" si="36"/>
        <v>0</v>
      </c>
      <c r="O46" s="17">
        <f t="shared" ca="1" si="36"/>
        <v>-1245264.7323314862</v>
      </c>
      <c r="P46" s="17">
        <f t="shared" ca="1" si="36"/>
        <v>-1538639.3715991538</v>
      </c>
      <c r="Q46" s="17">
        <f t="shared" ca="1" si="36"/>
        <v>-1548965.8102493929</v>
      </c>
      <c r="R46" s="17">
        <f t="shared" ca="1" si="36"/>
        <v>-1559361.5538582345</v>
      </c>
      <c r="S46" s="17">
        <f t="shared" ca="1" si="36"/>
        <v>-1569827.0675596076</v>
      </c>
      <c r="T46" s="17">
        <f t="shared" ca="1" si="36"/>
        <v>-1580362.8196091438</v>
      </c>
      <c r="U46" s="17">
        <f t="shared" ca="1" si="36"/>
        <v>-1590969.281405132</v>
      </c>
      <c r="V46" s="17">
        <f t="shared" ca="1" si="36"/>
        <v>-1601646.9275096066</v>
      </c>
      <c r="W46" s="17">
        <f t="shared" ca="1" si="36"/>
        <v>-1612396.2356695833</v>
      </c>
      <c r="X46" s="17">
        <f t="shared" ca="1" si="36"/>
        <v>-1623217.6868384334</v>
      </c>
      <c r="Y46" s="17">
        <f t="shared" ca="1" si="36"/>
        <v>-1634111.765197403</v>
      </c>
      <c r="Z46" s="17">
        <f t="shared" ca="1" si="36"/>
        <v>-1645078.9581772776</v>
      </c>
      <c r="AA46" s="17">
        <f t="shared" ca="1" si="36"/>
        <v>-1656119.7564801895</v>
      </c>
      <c r="AB46" s="17">
        <f t="shared" ca="1" si="36"/>
        <v>-119778.25064847653</v>
      </c>
      <c r="AC46" s="17">
        <f t="shared" ca="1" si="36"/>
        <v>-103407.60719471557</v>
      </c>
      <c r="AD46" s="17">
        <f t="shared" ca="1" si="36"/>
        <v>-86927.093651624338</v>
      </c>
      <c r="AE46" s="17">
        <f t="shared" ca="1" si="36"/>
        <v>-70335.972636032675</v>
      </c>
      <c r="AF46" s="17">
        <f t="shared" ca="1" si="36"/>
        <v>-53633.501815890311</v>
      </c>
      <c r="AG46" s="17">
        <f t="shared" ca="1" si="36"/>
        <v>-36818.933877052914</v>
      </c>
      <c r="AH46" s="17">
        <f t="shared" ca="1" si="36"/>
        <v>-19891.516489845031</v>
      </c>
      <c r="AI46" s="17">
        <f t="shared" ca="1" si="36"/>
        <v>-2827.4862247697893</v>
      </c>
      <c r="AJ46" s="17">
        <f t="shared" ca="1" si="36"/>
        <v>0</v>
      </c>
      <c r="AK46" s="17">
        <f t="shared" ca="1" si="36"/>
        <v>0</v>
      </c>
      <c r="AL46" s="17">
        <f t="shared" ca="1" si="36"/>
        <v>0</v>
      </c>
      <c r="AM46" s="17">
        <f t="shared" ca="1" si="36"/>
        <v>0</v>
      </c>
      <c r="AN46" s="17">
        <f t="shared" ca="1" si="36"/>
        <v>0</v>
      </c>
      <c r="AO46" s="17">
        <f t="shared" ca="1" si="36"/>
        <v>0</v>
      </c>
      <c r="AP46" s="17">
        <f t="shared" ca="1" si="36"/>
        <v>0</v>
      </c>
      <c r="AQ46" s="17">
        <f t="shared" ca="1" si="36"/>
        <v>0</v>
      </c>
      <c r="AR46" s="17">
        <f t="shared" ca="1" si="36"/>
        <v>0</v>
      </c>
      <c r="AS46" s="17">
        <f t="shared" ca="1" si="36"/>
        <v>0</v>
      </c>
      <c r="AT46" s="17">
        <f t="shared" ca="1" si="36"/>
        <v>0</v>
      </c>
      <c r="AU46" s="17">
        <f t="shared" ca="1" si="36"/>
        <v>0</v>
      </c>
      <c r="AV46" s="17">
        <f t="shared" ca="1" si="36"/>
        <v>0</v>
      </c>
      <c r="AW46" s="17">
        <f t="shared" ca="1" si="36"/>
        <v>0</v>
      </c>
      <c r="AX46" s="17">
        <f t="shared" ca="1" si="36"/>
        <v>0</v>
      </c>
      <c r="AY46" s="17">
        <f t="shared" ca="1" si="36"/>
        <v>0</v>
      </c>
      <c r="AZ46" s="17">
        <f t="shared" ca="1" si="36"/>
        <v>0</v>
      </c>
      <c r="BA46" s="17">
        <f t="shared" ca="1" si="36"/>
        <v>0</v>
      </c>
      <c r="BB46" s="17">
        <f t="shared" ca="1" si="36"/>
        <v>0</v>
      </c>
      <c r="BC46" s="17">
        <f t="shared" ref="BC46:BK46" ca="1" si="37">IF(BC42=0,-MIN(ABS(BC34-BC41),BC45),0)</f>
        <v>0</v>
      </c>
      <c r="BD46" s="17">
        <f t="shared" ca="1" si="37"/>
        <v>0</v>
      </c>
      <c r="BE46" s="17">
        <f t="shared" ca="1" si="37"/>
        <v>0</v>
      </c>
      <c r="BF46" s="17">
        <f t="shared" ca="1" si="37"/>
        <v>0</v>
      </c>
      <c r="BG46" s="17">
        <f t="shared" ca="1" si="37"/>
        <v>0</v>
      </c>
      <c r="BH46" s="17">
        <f t="shared" ca="1" si="37"/>
        <v>0</v>
      </c>
      <c r="BI46" s="17">
        <f t="shared" ca="1" si="37"/>
        <v>0</v>
      </c>
      <c r="BJ46" s="17">
        <f t="shared" ca="1" si="37"/>
        <v>0</v>
      </c>
      <c r="BK46" s="17">
        <f t="shared" ca="1" si="37"/>
        <v>0</v>
      </c>
    </row>
    <row r="47" spans="1:63">
      <c r="A47" s="11" t="s">
        <v>215</v>
      </c>
      <c r="C47" s="17">
        <f ca="1">SUM(C45:C46)</f>
        <v>20899605.594680794</v>
      </c>
      <c r="D47" s="17">
        <f t="shared" ref="D47:T47" ca="1" si="38">SUM(D45:D46)</f>
        <v>20899607.310861073</v>
      </c>
      <c r="E47" s="17">
        <f t="shared" ca="1" si="38"/>
        <v>20899608.621247541</v>
      </c>
      <c r="F47" s="17">
        <f t="shared" ca="1" si="38"/>
        <v>20899605.42519848</v>
      </c>
      <c r="G47" s="17">
        <f t="shared" ca="1" si="38"/>
        <v>20899609.298381489</v>
      </c>
      <c r="H47" s="17">
        <f t="shared" ca="1" si="38"/>
        <v>20899605.108150344</v>
      </c>
      <c r="I47" s="17">
        <f t="shared" ca="1" si="38"/>
        <v>20899605.777622152</v>
      </c>
      <c r="J47" s="17">
        <f t="shared" ca="1" si="38"/>
        <v>20899613.253221642</v>
      </c>
      <c r="K47" s="17">
        <f t="shared" ca="1" si="38"/>
        <v>20899604.349784303</v>
      </c>
      <c r="L47" s="17">
        <f t="shared" ca="1" si="38"/>
        <v>20899608.693821624</v>
      </c>
      <c r="M47" s="17">
        <f t="shared" ca="1" si="38"/>
        <v>20899608.299490254</v>
      </c>
      <c r="N47" s="17">
        <f t="shared" ca="1" si="38"/>
        <v>20899608.393802755</v>
      </c>
      <c r="O47" s="17">
        <f t="shared" ca="1" si="38"/>
        <v>19654342.802648202</v>
      </c>
      <c r="P47" s="17">
        <f t="shared" ca="1" si="38"/>
        <v>18115702.028752849</v>
      </c>
      <c r="Q47" s="17">
        <f t="shared" ca="1" si="38"/>
        <v>16566736.595506925</v>
      </c>
      <c r="R47" s="17">
        <f t="shared" ca="1" si="38"/>
        <v>15007372.521786459</v>
      </c>
      <c r="S47" s="17">
        <f ca="1">SUM(S45:S46)</f>
        <v>13437548.489970099</v>
      </c>
      <c r="T47" s="17">
        <f t="shared" ca="1" si="38"/>
        <v>11857171.359541569</v>
      </c>
      <c r="U47" s="17">
        <f ca="1">SUM(U45:U46)</f>
        <v>10266196.315727459</v>
      </c>
      <c r="V47" s="17">
        <f ca="1">SUM(V45:V46)</f>
        <v>8664568.6966868527</v>
      </c>
      <c r="W47" s="17">
        <f ca="1">SUM(W45:W46)</f>
        <v>7052149.5884487201</v>
      </c>
      <c r="X47" s="17">
        <f ca="1">SUM(X45:X46)</f>
        <v>5428964.7393151065</v>
      </c>
      <c r="Y47" s="17">
        <f ca="1">SUM(Y45:Y46)</f>
        <v>3794821.6433744105</v>
      </c>
      <c r="Z47" s="17">
        <f t="shared" ref="Z47:BB47" ca="1" si="39">SUM(Z45:Z46)</f>
        <v>2149695.0397204962</v>
      </c>
      <c r="AA47" s="17">
        <f t="shared" ca="1" si="39"/>
        <v>493656.23516523512</v>
      </c>
      <c r="AB47" s="17">
        <f t="shared" ca="1" si="39"/>
        <v>373830.05454647972</v>
      </c>
      <c r="AC47" s="17">
        <f t="shared" ca="1" si="39"/>
        <v>270429.30693210167</v>
      </c>
      <c r="AD47" s="17">
        <f t="shared" ca="1" si="39"/>
        <v>183505.91115104186</v>
      </c>
      <c r="AE47" s="17">
        <f t="shared" ca="1" si="39"/>
        <v>113179.16859784775</v>
      </c>
      <c r="AF47" s="17">
        <f t="shared" ca="1" si="39"/>
        <v>59544.011497913249</v>
      </c>
      <c r="AG47" s="17">
        <f t="shared" ca="1" si="39"/>
        <v>22728.196229275345</v>
      </c>
      <c r="AH47" s="17">
        <f t="shared" ca="1" si="39"/>
        <v>2824.1747766059125</v>
      </c>
      <c r="AI47" s="17">
        <f t="shared" ca="1" si="39"/>
        <v>0</v>
      </c>
      <c r="AJ47" s="17">
        <f t="shared" ca="1" si="39"/>
        <v>0</v>
      </c>
      <c r="AK47" s="17">
        <f t="shared" ca="1" si="39"/>
        <v>0</v>
      </c>
      <c r="AL47" s="17">
        <f t="shared" ca="1" si="39"/>
        <v>0</v>
      </c>
      <c r="AM47" s="17">
        <f t="shared" ca="1" si="39"/>
        <v>0</v>
      </c>
      <c r="AN47" s="17">
        <f t="shared" ca="1" si="39"/>
        <v>99.097855606640223</v>
      </c>
      <c r="AO47" s="17">
        <f t="shared" ca="1" si="39"/>
        <v>244.81363179415348</v>
      </c>
      <c r="AP47" s="17">
        <f t="shared" ca="1" si="39"/>
        <v>0</v>
      </c>
      <c r="AQ47" s="17">
        <f t="shared" ca="1" si="39"/>
        <v>190.66764474526281</v>
      </c>
      <c r="AR47" s="17">
        <f t="shared" ca="1" si="39"/>
        <v>190.32439273357159</v>
      </c>
      <c r="AS47" s="17">
        <f t="shared" ca="1" si="39"/>
        <v>190.45302003319375</v>
      </c>
      <c r="AT47" s="17">
        <f t="shared" ca="1" si="39"/>
        <v>193.62856971198926</v>
      </c>
      <c r="AU47" s="17">
        <f t="shared" ca="1" si="39"/>
        <v>217.94020704831928</v>
      </c>
      <c r="AV47" s="17">
        <f t="shared" ca="1" si="39"/>
        <v>204.84342570329318</v>
      </c>
      <c r="AW47" s="17">
        <f t="shared" ca="1" si="39"/>
        <v>195.02378492095158</v>
      </c>
      <c r="AX47" s="17">
        <f t="shared" ca="1" si="39"/>
        <v>203.13784373732051</v>
      </c>
      <c r="AY47" s="17">
        <f t="shared" ca="1" si="39"/>
        <v>79.1901128104073</v>
      </c>
      <c r="AZ47" s="17">
        <f t="shared" ca="1" si="39"/>
        <v>51.924075971386628</v>
      </c>
      <c r="BA47" s="17">
        <f t="shared" ca="1" si="39"/>
        <v>0</v>
      </c>
      <c r="BB47" s="17">
        <f t="shared" ca="1" si="39"/>
        <v>202.85674721590476</v>
      </c>
      <c r="BC47" s="17">
        <f t="shared" ref="BC47:BK47" ca="1" si="40">SUM(BC45:BC46)</f>
        <v>0</v>
      </c>
      <c r="BD47" s="17">
        <f t="shared" ca="1" si="40"/>
        <v>0</v>
      </c>
      <c r="BE47" s="17">
        <f t="shared" ca="1" si="40"/>
        <v>0</v>
      </c>
      <c r="BF47" s="17">
        <f t="shared" ca="1" si="40"/>
        <v>0</v>
      </c>
      <c r="BG47" s="17">
        <f t="shared" ca="1" si="40"/>
        <v>0</v>
      </c>
      <c r="BH47" s="17">
        <f t="shared" ca="1" si="40"/>
        <v>0</v>
      </c>
      <c r="BI47" s="17">
        <f t="shared" ca="1" si="40"/>
        <v>0</v>
      </c>
      <c r="BJ47" s="17">
        <f t="shared" ca="1" si="40"/>
        <v>0</v>
      </c>
      <c r="BK47" s="17">
        <f t="shared" ca="1" si="40"/>
        <v>0</v>
      </c>
    </row>
    <row r="48" spans="1:63">
      <c r="A48" s="11" t="s">
        <v>216</v>
      </c>
      <c r="B48" s="31">
        <f>Inputs!R96</f>
        <v>36</v>
      </c>
      <c r="C48" s="104" t="s">
        <v>217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</row>
    <row r="49" spans="1:63">
      <c r="A49" s="11" t="s">
        <v>218</v>
      </c>
      <c r="B49" s="20">
        <f>Inputs!R61</f>
        <v>0.08</v>
      </c>
      <c r="C49" s="17">
        <f ca="1">IF(C8&gt;=$B$48,0,SUM($C46:C$46)*$B49/12)</f>
        <v>0</v>
      </c>
      <c r="D49" s="17">
        <f ca="1">IF(D8&gt;=$B$48,0,SUM($C46:D$46)*$B49/12)</f>
        <v>0</v>
      </c>
      <c r="E49" s="17">
        <f ca="1">IF(E8&gt;=$B$48,0,SUM($C46:E$46)*$B49/12)</f>
        <v>0</v>
      </c>
      <c r="F49" s="17">
        <f ca="1">IF(F8&gt;=$B$48,0,SUM($C46:F$46)*$B49/12)</f>
        <v>0</v>
      </c>
      <c r="G49" s="17">
        <f ca="1">IF(G8&gt;=$B$48,0,SUM($C46:G$46)*$B49/12)</f>
        <v>0</v>
      </c>
      <c r="H49" s="17">
        <f ca="1">IF(H8&gt;=$B$48,0,SUM($C46:H$46)*$B49/12)</f>
        <v>0</v>
      </c>
      <c r="I49" s="17">
        <f ca="1">IF(I8&gt;=$B$48,0,SUM($C46:I$46)*$B49/12)</f>
        <v>0</v>
      </c>
      <c r="J49" s="17">
        <f ca="1">IF(J8&gt;=$B$48,0,SUM($C46:J$46)*$B49/12)</f>
        <v>0</v>
      </c>
      <c r="K49" s="17">
        <f ca="1">IF(K8&gt;=$B$48,0,SUM($C46:K$46)*$B49/12)</f>
        <v>0</v>
      </c>
      <c r="L49" s="17">
        <f ca="1">IF(L8&gt;=$B$48,0,SUM($C46:L$46)*$B49/12)</f>
        <v>0</v>
      </c>
      <c r="M49" s="17">
        <f ca="1">IF(M8&gt;=$B$48,0,SUM($C46:M$46)*$B49/12)</f>
        <v>0</v>
      </c>
      <c r="N49" s="17">
        <f ca="1">IF(N8&gt;=$B$48,0,SUM($C46:N$46)*$B49/12)</f>
        <v>0</v>
      </c>
      <c r="O49" s="17">
        <f ca="1">IF(O8&gt;=$B$48,0,SUM($C46:O$46)*$B49/12)</f>
        <v>-8301.764882209909</v>
      </c>
      <c r="P49" s="17">
        <f ca="1">IF(P8&gt;=$B$48,0,SUM($C46:P$46)*$B49/12)</f>
        <v>-18559.360692870934</v>
      </c>
      <c r="Q49" s="17">
        <f ca="1">IF(Q8&gt;=$B$48,0,SUM($C46:Q$46)*$B49/12)</f>
        <v>-28885.799427866888</v>
      </c>
      <c r="R49" s="17">
        <f ca="1">IF(R8&gt;=$B$48,0,SUM($C46:R$46)*$B49/12)</f>
        <v>-39281.543120255119</v>
      </c>
      <c r="S49" s="17">
        <f ca="1">IF(S8&gt;=$B$48,0,SUM($C46:S$46)*$B49/12)</f>
        <v>-49747.056903985831</v>
      </c>
      <c r="T49" s="17">
        <f ca="1">IF(T8&gt;=$B$48,0,SUM($C46:T$46)*$B49/12)</f>
        <v>-60282.809034713457</v>
      </c>
      <c r="U49" s="17">
        <f ca="1">IF(U8&gt;=$B$48,0,SUM($C46:U$46)*$B49/12)</f>
        <v>-70889.270910747669</v>
      </c>
      <c r="V49" s="17">
        <f ca="1">IF(V8&gt;=$B$48,0,SUM($C46:V$46)*$B49/12)</f>
        <v>-81566.917094145043</v>
      </c>
      <c r="W49" s="17">
        <f ca="1">IF(W8&gt;=$B$48,0,SUM($C46:W$46)*$B49/12)</f>
        <v>-92316.22533194226</v>
      </c>
      <c r="X49" s="17">
        <f ca="1">IF(X8&gt;=$B$48,0,SUM($C46:X$46)*$B49/12)</f>
        <v>-103137.67657753183</v>
      </c>
      <c r="Y49" s="17">
        <f ca="1">IF(Y8&gt;=$B$48,0,SUM($C46:Y$46)*$B49/12)</f>
        <v>-114031.75501218118</v>
      </c>
      <c r="Z49" s="17">
        <f ca="1">IF(Z8&gt;=$B$48,0,SUM($C46:Z$46)*$B49/12)</f>
        <v>-124998.94806669635</v>
      </c>
      <c r="AA49" s="17">
        <f ca="1">IF(AA8&gt;=$B$48,0,SUM($C46:AA$46)*$B49/12)</f>
        <v>-136039.74644323098</v>
      </c>
      <c r="AB49" s="17">
        <f ca="1">IF(AB8&gt;=$B$48,0,SUM($C46:AB$46)*$B49/12)</f>
        <v>-136838.26811422079</v>
      </c>
      <c r="AC49" s="17">
        <f ca="1">IF(AC8&gt;=$B$48,0,SUM($C46:AC$46)*$B49/12)</f>
        <v>-137527.65216218555</v>
      </c>
      <c r="AD49" s="17">
        <f ca="1">IF(AD8&gt;=$B$48,0,SUM($C46:AD$46)*$B49/12)</f>
        <v>-138107.16611986305</v>
      </c>
      <c r="AE49" s="17">
        <f ca="1">IF(AE8&gt;=$B$48,0,SUM($C46:AE$46)*$B49/12)</f>
        <v>-138576.07260410328</v>
      </c>
      <c r="AF49" s="17">
        <f ca="1">IF(AF8&gt;=$B$48,0,SUM($C46:AF$46)*$B49/12)</f>
        <v>-138933.62928287586</v>
      </c>
      <c r="AG49" s="17">
        <f ca="1">IF(AG8&gt;=$B$48,0,SUM($C46:AG$46)*$B49/12)</f>
        <v>-139179.08884205623</v>
      </c>
      <c r="AH49" s="17">
        <f ca="1">IF(AH8&gt;=$B$48,0,SUM($C46:AH$46)*$B49/12)</f>
        <v>-139311.69895198851</v>
      </c>
      <c r="AI49" s="17">
        <f ca="1">IF(AI8&gt;=$B$48,0,SUM($C46:AI$46)*$B49/12)</f>
        <v>-139330.54886015365</v>
      </c>
      <c r="AJ49" s="17">
        <f ca="1">IF(AJ8&gt;=$B$48,0,SUM($C46:AJ$46)*$B49/12)</f>
        <v>-139330.54886015365</v>
      </c>
      <c r="AK49" s="17">
        <f ca="1">IF(AK8&gt;=$B$48,0,SUM($C46:AK$46)*$B49/12)</f>
        <v>-139330.54886015365</v>
      </c>
      <c r="AL49" s="17">
        <f ca="1">IF(AL8&gt;=$B$48,0,SUM($C46:AL$46)*$B49/12)</f>
        <v>-139330.54886015365</v>
      </c>
      <c r="AM49" s="17">
        <f>IF(AM8&gt;=$B$48,0,SUM($C46:AM$46)*$B49/12)</f>
        <v>0</v>
      </c>
      <c r="AN49" s="17">
        <f>IF(AN8&gt;=$B$48,0,SUM($C46:AN$46)*$B49/12)</f>
        <v>0</v>
      </c>
      <c r="AO49" s="17">
        <f>IF(AO8&gt;=$B$48,0,SUM($C46:AO$46)*$B49/12)</f>
        <v>0</v>
      </c>
      <c r="AP49" s="17">
        <f>IF(AP8&gt;=$B$48,0,SUM($C46:AP$46)*$B49/12)</f>
        <v>0</v>
      </c>
      <c r="AQ49" s="17">
        <f>IF(AQ8&gt;=$B$48,0,SUM($C46:AQ$46)*$B49/12)</f>
        <v>0</v>
      </c>
      <c r="AR49" s="17">
        <f>IF(AR8&gt;=$B$48,0,SUM($C46:AR$46)*$B49/12)</f>
        <v>0</v>
      </c>
      <c r="AS49" s="17">
        <f>IF(AS8&gt;=$B$48,0,SUM($C46:AS$46)*$B49/12)</f>
        <v>0</v>
      </c>
      <c r="AT49" s="17">
        <f>IF(AT8&gt;=$B$48,0,SUM($C46:AT$46)*$B49/12)</f>
        <v>0</v>
      </c>
      <c r="AU49" s="17">
        <f>IF(AU8&gt;=$B$48,0,SUM($C46:AU$46)*$B49/12)</f>
        <v>0</v>
      </c>
      <c r="AV49" s="17">
        <f>IF(AV8&gt;=$B$48,0,SUM($C46:AV$46)*$B49/12)</f>
        <v>0</v>
      </c>
      <c r="AW49" s="17">
        <f>IF(AW8&gt;=$B$48,0,SUM($C46:AW$46)*$B49/12)</f>
        <v>0</v>
      </c>
      <c r="AX49" s="17">
        <f>IF(AX8&gt;=$B$48,0,SUM($C46:AX$46)*$B49/12)</f>
        <v>0</v>
      </c>
      <c r="AY49" s="17">
        <f>IF(AY8&gt;=$B$48,0,SUM($C46:AY$46)*$B49/12)</f>
        <v>0</v>
      </c>
      <c r="AZ49" s="17">
        <f>IF(AZ8&gt;=$B$48,0,SUM($C46:AZ$46)*$B49/12)</f>
        <v>0</v>
      </c>
      <c r="BA49" s="17">
        <f>IF(BA8&gt;=$B$48,0,SUM($C46:BA$46)*$B49/12)</f>
        <v>0</v>
      </c>
      <c r="BB49" s="17">
        <f>IF(BB8&gt;=$B$48,0,SUM($C46:BB$46)*$B49/12)</f>
        <v>0</v>
      </c>
      <c r="BC49" s="17">
        <f>IF(BC8&gt;=$B$48,0,SUM($C46:BC$46)*$B49/12)</f>
        <v>0</v>
      </c>
      <c r="BD49" s="17">
        <f>IF(BD8&gt;=$B$48,0,SUM($C46:BD$46)*$B49/12)</f>
        <v>0</v>
      </c>
      <c r="BE49" s="17">
        <f>IF(BE8&gt;=$B$48,0,SUM($C46:BE$46)*$B49/12)</f>
        <v>0</v>
      </c>
      <c r="BF49" s="17">
        <f>IF(BF8&gt;=$B$48,0,SUM($C46:BF$46)*$B49/12)</f>
        <v>0</v>
      </c>
      <c r="BG49" s="17">
        <f>IF(BG8&gt;=$B$48,0,SUM($C46:BG$46)*$B49/12)</f>
        <v>0</v>
      </c>
      <c r="BH49" s="17">
        <f>IF(BH8&gt;=$B$48,0,SUM($C46:BH$46)*$B49/12)</f>
        <v>0</v>
      </c>
      <c r="BI49" s="17">
        <f>IF(BI8&gt;=$B$48,0,SUM($C46:BI$46)*$B49/12)</f>
        <v>0</v>
      </c>
      <c r="BJ49" s="17">
        <f>IF(BJ8&gt;=$B$48,0,SUM($C46:BJ$46)*$B49/12)</f>
        <v>0</v>
      </c>
      <c r="BK49" s="17">
        <f>IF(BK8&gt;=$B$48,0,SUM($C46:BK$46)*$B49/12)</f>
        <v>0</v>
      </c>
    </row>
    <row r="50" spans="1:63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>
      <c r="A51" s="102" t="s">
        <v>219</v>
      </c>
      <c r="B51" s="99"/>
      <c r="C51" s="17"/>
      <c r="D51" s="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</row>
    <row r="52" spans="1:63">
      <c r="A52" s="11" t="s">
        <v>213</v>
      </c>
      <c r="B52" s="99"/>
      <c r="C52" s="29">
        <f ca="1">Inputs!R66</f>
        <v>0</v>
      </c>
      <c r="D52" s="17">
        <f t="shared" ref="D52:AN52" ca="1" si="41">IF(D8&gt;$B$48,0,C54)</f>
        <v>0</v>
      </c>
      <c r="E52" s="17">
        <f t="shared" ca="1" si="41"/>
        <v>0</v>
      </c>
      <c r="F52" s="17">
        <f t="shared" ca="1" si="41"/>
        <v>0</v>
      </c>
      <c r="G52" s="17">
        <f t="shared" ca="1" si="41"/>
        <v>0</v>
      </c>
      <c r="H52" s="17">
        <f t="shared" ca="1" si="41"/>
        <v>0</v>
      </c>
      <c r="I52" s="17">
        <f t="shared" ca="1" si="41"/>
        <v>0</v>
      </c>
      <c r="J52" s="17">
        <f t="shared" ca="1" si="41"/>
        <v>0</v>
      </c>
      <c r="K52" s="17">
        <f t="shared" ca="1" si="41"/>
        <v>0</v>
      </c>
      <c r="L52" s="17">
        <f t="shared" ca="1" si="41"/>
        <v>0</v>
      </c>
      <c r="M52" s="17">
        <f t="shared" ca="1" si="41"/>
        <v>0</v>
      </c>
      <c r="N52" s="17">
        <f t="shared" ca="1" si="41"/>
        <v>0</v>
      </c>
      <c r="O52" s="17">
        <f t="shared" ca="1" si="41"/>
        <v>0</v>
      </c>
      <c r="P52" s="17">
        <f t="shared" ca="1" si="41"/>
        <v>0</v>
      </c>
      <c r="Q52" s="17">
        <f t="shared" ca="1" si="41"/>
        <v>0</v>
      </c>
      <c r="R52" s="17">
        <f t="shared" ca="1" si="41"/>
        <v>0</v>
      </c>
      <c r="S52" s="17">
        <f t="shared" ca="1" si="41"/>
        <v>0</v>
      </c>
      <c r="T52" s="17">
        <f t="shared" ca="1" si="41"/>
        <v>0</v>
      </c>
      <c r="U52" s="17">
        <f t="shared" ca="1" si="41"/>
        <v>0</v>
      </c>
      <c r="V52" s="17">
        <f t="shared" ca="1" si="41"/>
        <v>0</v>
      </c>
      <c r="W52" s="17">
        <f t="shared" ca="1" si="41"/>
        <v>0</v>
      </c>
      <c r="X52" s="17">
        <f t="shared" ca="1" si="41"/>
        <v>0</v>
      </c>
      <c r="Y52" s="17">
        <f t="shared" ca="1" si="41"/>
        <v>0</v>
      </c>
      <c r="Z52" s="17">
        <f t="shared" ca="1" si="41"/>
        <v>0</v>
      </c>
      <c r="AA52" s="17">
        <f t="shared" ca="1" si="41"/>
        <v>0</v>
      </c>
      <c r="AB52" s="17">
        <f t="shared" ca="1" si="41"/>
        <v>0</v>
      </c>
      <c r="AC52" s="17">
        <f t="shared" ca="1" si="41"/>
        <v>0</v>
      </c>
      <c r="AD52" s="17">
        <f t="shared" ca="1" si="41"/>
        <v>0</v>
      </c>
      <c r="AE52" s="17">
        <f t="shared" ca="1" si="41"/>
        <v>0</v>
      </c>
      <c r="AF52" s="17">
        <f t="shared" ca="1" si="41"/>
        <v>0</v>
      </c>
      <c r="AG52" s="17">
        <f t="shared" ca="1" si="41"/>
        <v>0</v>
      </c>
      <c r="AH52" s="17">
        <f t="shared" ca="1" si="41"/>
        <v>0</v>
      </c>
      <c r="AI52" s="17">
        <f t="shared" ca="1" si="41"/>
        <v>0</v>
      </c>
      <c r="AJ52" s="17">
        <f t="shared" ca="1" si="41"/>
        <v>-27.527236955531407</v>
      </c>
      <c r="AK52" s="17">
        <f t="shared" ca="1" si="41"/>
        <v>-87.339513054059353</v>
      </c>
      <c r="AL52" s="17">
        <f t="shared" ca="1" si="41"/>
        <v>-71.903551272145705</v>
      </c>
      <c r="AM52" s="17">
        <f t="shared" ca="1" si="41"/>
        <v>-186.83592640954885</v>
      </c>
      <c r="AN52" s="17">
        <f t="shared" si="41"/>
        <v>0</v>
      </c>
      <c r="AO52" s="17">
        <f t="shared" ref="AO52" si="42">IF(AO8&gt;$B$48,0,AN54)</f>
        <v>0</v>
      </c>
      <c r="AP52" s="17">
        <f t="shared" ref="AP52" si="43">IF(AP8&gt;$B$48,0,AO54)</f>
        <v>0</v>
      </c>
      <c r="AQ52" s="17">
        <f t="shared" ref="AQ52" si="44">IF(AQ8&gt;$B$48,0,AP54)</f>
        <v>0</v>
      </c>
      <c r="AR52" s="17">
        <f t="shared" ref="AR52" si="45">IF(AR8&gt;$B$48,0,AQ54)</f>
        <v>0</v>
      </c>
      <c r="AS52" s="17">
        <f t="shared" ref="AS52" si="46">IF(AS8&gt;$B$48,0,AR54)</f>
        <v>0</v>
      </c>
      <c r="AT52" s="17">
        <f t="shared" ref="AT52" si="47">IF(AT8&gt;$B$48,0,AS54)</f>
        <v>0</v>
      </c>
      <c r="AU52" s="17">
        <f t="shared" ref="AU52" si="48">IF(AU8&gt;$B$48,0,AT54)</f>
        <v>0</v>
      </c>
      <c r="AV52" s="17">
        <f t="shared" ref="AV52" si="49">IF(AV8&gt;$B$48,0,AU54)</f>
        <v>0</v>
      </c>
      <c r="AW52" s="17">
        <f t="shared" ref="AW52" si="50">IF(AW8&gt;$B$48,0,AV54)</f>
        <v>0</v>
      </c>
      <c r="AX52" s="17">
        <f t="shared" ref="AX52" si="51">IF(AX8&gt;$B$48,0,AW54)</f>
        <v>0</v>
      </c>
      <c r="AY52" s="17">
        <f t="shared" ref="AY52" si="52">IF(AY8&gt;$B$48,0,AX54)</f>
        <v>0</v>
      </c>
      <c r="AZ52" s="17">
        <f t="shared" ref="AZ52" si="53">IF(AZ8&gt;$B$48,0,AY54)</f>
        <v>0</v>
      </c>
      <c r="BA52" s="17">
        <f t="shared" ref="BA52" si="54">IF(BA8&gt;$B$48,0,AZ54)</f>
        <v>0</v>
      </c>
      <c r="BB52" s="17">
        <f t="shared" ref="BB52" si="55">IF(BB8&gt;$B$48,0,BA54)</f>
        <v>0</v>
      </c>
      <c r="BC52" s="17">
        <f t="shared" ref="BC52" si="56">IF(BC8&gt;$B$48,0,BB54)</f>
        <v>0</v>
      </c>
      <c r="BD52" s="17">
        <f t="shared" ref="BD52" si="57">IF(BD8&gt;$B$48,0,BC54)</f>
        <v>0</v>
      </c>
      <c r="BE52" s="17">
        <f t="shared" ref="BE52" si="58">IF(BE8&gt;$B$48,0,BD54)</f>
        <v>0</v>
      </c>
      <c r="BF52" s="17">
        <f t="shared" ref="BF52" si="59">IF(BF8&gt;$B$48,0,BE54)</f>
        <v>0</v>
      </c>
      <c r="BG52" s="17">
        <f t="shared" ref="BG52" si="60">IF(BG8&gt;$B$48,0,BF54)</f>
        <v>0</v>
      </c>
      <c r="BH52" s="17">
        <f t="shared" ref="BH52" si="61">IF(BH8&gt;$B$48,0,BG54)</f>
        <v>0</v>
      </c>
      <c r="BI52" s="17">
        <f t="shared" ref="BI52" si="62">IF(BI8&gt;$B$48,0,BH54)</f>
        <v>0</v>
      </c>
      <c r="BJ52" s="17">
        <f t="shared" ref="BJ52" si="63">IF(BJ8&gt;$B$48,0,BI54)</f>
        <v>0</v>
      </c>
      <c r="BK52" s="17">
        <f t="shared" ref="BK52" si="64">IF(BK8&gt;$B$48,0,BJ54)</f>
        <v>0</v>
      </c>
    </row>
    <row r="53" spans="1:63">
      <c r="A53" s="11" t="s">
        <v>220</v>
      </c>
      <c r="B53" s="100">
        <f ca="1">SUM(C53:BK53)</f>
        <v>-27.527236955531407</v>
      </c>
      <c r="C53" s="17">
        <f ca="1">IF(AND(C42=0,C47=0),C34-C46,0)</f>
        <v>0</v>
      </c>
      <c r="D53" s="17">
        <f t="shared" ref="D53:AN53" ca="1" si="65">IF(AND(D42=0,D47=0),D34-D46,0)</f>
        <v>0</v>
      </c>
      <c r="E53" s="17">
        <f t="shared" ca="1" si="65"/>
        <v>0</v>
      </c>
      <c r="F53" s="17">
        <f t="shared" ca="1" si="65"/>
        <v>0</v>
      </c>
      <c r="G53" s="17">
        <f t="shared" ca="1" si="65"/>
        <v>0</v>
      </c>
      <c r="H53" s="17">
        <f t="shared" ca="1" si="65"/>
        <v>0</v>
      </c>
      <c r="I53" s="17">
        <f t="shared" ca="1" si="65"/>
        <v>0</v>
      </c>
      <c r="J53" s="17">
        <f t="shared" ca="1" si="65"/>
        <v>0</v>
      </c>
      <c r="K53" s="17">
        <f t="shared" ca="1" si="65"/>
        <v>0</v>
      </c>
      <c r="L53" s="17">
        <f t="shared" ca="1" si="65"/>
        <v>0</v>
      </c>
      <c r="M53" s="17">
        <f t="shared" ca="1" si="65"/>
        <v>0</v>
      </c>
      <c r="N53" s="17">
        <f t="shared" ca="1" si="65"/>
        <v>0</v>
      </c>
      <c r="O53" s="17">
        <f t="shared" ca="1" si="65"/>
        <v>0</v>
      </c>
      <c r="P53" s="17">
        <f t="shared" ca="1" si="65"/>
        <v>0</v>
      </c>
      <c r="Q53" s="17">
        <f t="shared" ca="1" si="65"/>
        <v>0</v>
      </c>
      <c r="R53" s="17">
        <f t="shared" ca="1" si="65"/>
        <v>0</v>
      </c>
      <c r="S53" s="17">
        <f t="shared" ca="1" si="65"/>
        <v>0</v>
      </c>
      <c r="T53" s="17">
        <f t="shared" ca="1" si="65"/>
        <v>0</v>
      </c>
      <c r="U53" s="17">
        <f t="shared" ca="1" si="65"/>
        <v>0</v>
      </c>
      <c r="V53" s="17">
        <f t="shared" ca="1" si="65"/>
        <v>0</v>
      </c>
      <c r="W53" s="17">
        <f t="shared" ca="1" si="65"/>
        <v>0</v>
      </c>
      <c r="X53" s="17">
        <f t="shared" ca="1" si="65"/>
        <v>0</v>
      </c>
      <c r="Y53" s="17">
        <f t="shared" ca="1" si="65"/>
        <v>0</v>
      </c>
      <c r="Z53" s="17">
        <f t="shared" ca="1" si="65"/>
        <v>0</v>
      </c>
      <c r="AA53" s="17">
        <f t="shared" ca="1" si="65"/>
        <v>0</v>
      </c>
      <c r="AB53" s="17">
        <f t="shared" ca="1" si="65"/>
        <v>0</v>
      </c>
      <c r="AC53" s="17">
        <f t="shared" ca="1" si="65"/>
        <v>0</v>
      </c>
      <c r="AD53" s="17">
        <f t="shared" ca="1" si="65"/>
        <v>0</v>
      </c>
      <c r="AE53" s="17">
        <f t="shared" ca="1" si="65"/>
        <v>0</v>
      </c>
      <c r="AF53" s="17">
        <f t="shared" ca="1" si="65"/>
        <v>0</v>
      </c>
      <c r="AG53" s="17">
        <f t="shared" ca="1" si="65"/>
        <v>0</v>
      </c>
      <c r="AH53" s="17">
        <f t="shared" ca="1" si="65"/>
        <v>0</v>
      </c>
      <c r="AI53" s="17">
        <f t="shared" ca="1" si="65"/>
        <v>-22.818632286129287</v>
      </c>
      <c r="AJ53" s="17">
        <f t="shared" ca="1" si="65"/>
        <v>0</v>
      </c>
      <c r="AK53" s="17">
        <f t="shared" ca="1" si="65"/>
        <v>0</v>
      </c>
      <c r="AL53" s="17">
        <f t="shared" ca="1" si="65"/>
        <v>0</v>
      </c>
      <c r="AM53" s="17">
        <f t="shared" ca="1" si="65"/>
        <v>0</v>
      </c>
      <c r="AN53" s="17">
        <f t="shared" ca="1" si="65"/>
        <v>0</v>
      </c>
      <c r="AO53" s="17">
        <f t="shared" ref="AO53:AW53" ca="1" si="66">IF(AND(AO42=0,AO47=0),AO34-AO46,0)</f>
        <v>0</v>
      </c>
      <c r="AP53" s="17">
        <f t="shared" ca="1" si="66"/>
        <v>0</v>
      </c>
      <c r="AQ53" s="17">
        <f t="shared" ca="1" si="66"/>
        <v>0</v>
      </c>
      <c r="AR53" s="17">
        <f t="shared" ca="1" si="66"/>
        <v>0</v>
      </c>
      <c r="AS53" s="17">
        <f t="shared" ca="1" si="66"/>
        <v>0</v>
      </c>
      <c r="AT53" s="17">
        <f t="shared" ca="1" si="66"/>
        <v>0</v>
      </c>
      <c r="AU53" s="17">
        <f t="shared" ca="1" si="66"/>
        <v>0</v>
      </c>
      <c r="AV53" s="17">
        <f t="shared" ca="1" si="66"/>
        <v>0</v>
      </c>
      <c r="AW53" s="17">
        <f t="shared" ca="1" si="66"/>
        <v>0</v>
      </c>
      <c r="AX53" s="17">
        <f t="shared" ref="AX53:BK53" ca="1" si="67">IF(AND(AX42=0,AX47=0),AX34-AX46,0)</f>
        <v>0</v>
      </c>
      <c r="AY53" s="17">
        <f t="shared" ca="1" si="67"/>
        <v>0</v>
      </c>
      <c r="AZ53" s="17">
        <f t="shared" ca="1" si="67"/>
        <v>0</v>
      </c>
      <c r="BA53" s="17">
        <f t="shared" ca="1" si="67"/>
        <v>0</v>
      </c>
      <c r="BB53" s="17">
        <f t="shared" ca="1" si="67"/>
        <v>0</v>
      </c>
      <c r="BC53" s="17">
        <f t="shared" ca="1" si="67"/>
        <v>0</v>
      </c>
      <c r="BD53" s="17">
        <f t="shared" ca="1" si="67"/>
        <v>0</v>
      </c>
      <c r="BE53" s="17">
        <f t="shared" ca="1" si="67"/>
        <v>0</v>
      </c>
      <c r="BF53" s="17">
        <f t="shared" ca="1" si="67"/>
        <v>0</v>
      </c>
      <c r="BG53" s="17">
        <f t="shared" ca="1" si="67"/>
        <v>0</v>
      </c>
      <c r="BH53" s="17">
        <f t="shared" ca="1" si="67"/>
        <v>0</v>
      </c>
      <c r="BI53" s="17">
        <f t="shared" ca="1" si="67"/>
        <v>0</v>
      </c>
      <c r="BJ53" s="17">
        <f t="shared" ca="1" si="67"/>
        <v>0</v>
      </c>
      <c r="BK53" s="17">
        <f t="shared" ca="1" si="67"/>
        <v>0</v>
      </c>
    </row>
    <row r="54" spans="1:63">
      <c r="A54" s="11" t="s">
        <v>221</v>
      </c>
      <c r="B54" s="99"/>
      <c r="C54" s="17">
        <f t="shared" ref="C54:AH54" ca="1" si="68">SUM(C52:C53)</f>
        <v>0</v>
      </c>
      <c r="D54" s="17">
        <f t="shared" ca="1" si="68"/>
        <v>0</v>
      </c>
      <c r="E54" s="17">
        <f t="shared" ca="1" si="68"/>
        <v>0</v>
      </c>
      <c r="F54" s="17">
        <f t="shared" ca="1" si="68"/>
        <v>0</v>
      </c>
      <c r="G54" s="17">
        <f t="shared" ca="1" si="68"/>
        <v>0</v>
      </c>
      <c r="H54" s="17">
        <f t="shared" ca="1" si="68"/>
        <v>0</v>
      </c>
      <c r="I54" s="17">
        <f t="shared" ca="1" si="68"/>
        <v>0</v>
      </c>
      <c r="J54" s="17">
        <f t="shared" ca="1" si="68"/>
        <v>0</v>
      </c>
      <c r="K54" s="17">
        <f t="shared" ca="1" si="68"/>
        <v>0</v>
      </c>
      <c r="L54" s="17">
        <f t="shared" ca="1" si="68"/>
        <v>0</v>
      </c>
      <c r="M54" s="17">
        <f t="shared" ca="1" si="68"/>
        <v>0</v>
      </c>
      <c r="N54" s="17">
        <f t="shared" ca="1" si="68"/>
        <v>0</v>
      </c>
      <c r="O54" s="17">
        <f t="shared" ca="1" si="68"/>
        <v>0</v>
      </c>
      <c r="P54" s="17">
        <f t="shared" ca="1" si="68"/>
        <v>0</v>
      </c>
      <c r="Q54" s="17">
        <f t="shared" ca="1" si="68"/>
        <v>0</v>
      </c>
      <c r="R54" s="17">
        <f t="shared" ca="1" si="68"/>
        <v>0</v>
      </c>
      <c r="S54" s="17">
        <f t="shared" ca="1" si="68"/>
        <v>0</v>
      </c>
      <c r="T54" s="17">
        <f t="shared" ca="1" si="68"/>
        <v>0</v>
      </c>
      <c r="U54" s="17">
        <f t="shared" ca="1" si="68"/>
        <v>0</v>
      </c>
      <c r="V54" s="17">
        <f t="shared" ca="1" si="68"/>
        <v>0</v>
      </c>
      <c r="W54" s="17">
        <f t="shared" ca="1" si="68"/>
        <v>0</v>
      </c>
      <c r="X54" s="17">
        <f t="shared" ca="1" si="68"/>
        <v>0</v>
      </c>
      <c r="Y54" s="17">
        <f t="shared" ca="1" si="68"/>
        <v>0</v>
      </c>
      <c r="Z54" s="17">
        <f t="shared" ca="1" si="68"/>
        <v>0</v>
      </c>
      <c r="AA54" s="17">
        <f t="shared" ca="1" si="68"/>
        <v>0</v>
      </c>
      <c r="AB54" s="17">
        <f t="shared" ca="1" si="68"/>
        <v>0</v>
      </c>
      <c r="AC54" s="17">
        <f t="shared" ca="1" si="68"/>
        <v>0</v>
      </c>
      <c r="AD54" s="17">
        <f t="shared" ca="1" si="68"/>
        <v>0</v>
      </c>
      <c r="AE54" s="17">
        <f t="shared" ca="1" si="68"/>
        <v>0</v>
      </c>
      <c r="AF54" s="17">
        <f t="shared" ca="1" si="68"/>
        <v>0</v>
      </c>
      <c r="AG54" s="17">
        <f t="shared" ca="1" si="68"/>
        <v>0</v>
      </c>
      <c r="AH54" s="17">
        <f t="shared" ca="1" si="68"/>
        <v>0</v>
      </c>
      <c r="AI54" s="17">
        <f t="shared" ref="AI54:AN54" ca="1" si="69">SUM(AI52:AI53)</f>
        <v>-22.818632286129287</v>
      </c>
      <c r="AJ54" s="17">
        <f t="shared" ca="1" si="69"/>
        <v>-27.527236955531407</v>
      </c>
      <c r="AK54" s="17">
        <f t="shared" ca="1" si="69"/>
        <v>-87.339513054059353</v>
      </c>
      <c r="AL54" s="17">
        <f t="shared" ca="1" si="69"/>
        <v>-71.903551272145705</v>
      </c>
      <c r="AM54" s="17">
        <f t="shared" ca="1" si="69"/>
        <v>-186.83592640954885</v>
      </c>
      <c r="AN54" s="17">
        <f t="shared" ca="1" si="69"/>
        <v>0</v>
      </c>
      <c r="AO54" s="17">
        <f t="shared" ref="AO54:AW54" ca="1" si="70">SUM(AO52:AO53)</f>
        <v>0</v>
      </c>
      <c r="AP54" s="17">
        <f t="shared" ca="1" si="70"/>
        <v>0</v>
      </c>
      <c r="AQ54" s="17">
        <f t="shared" ca="1" si="70"/>
        <v>0</v>
      </c>
      <c r="AR54" s="17">
        <f t="shared" ca="1" si="70"/>
        <v>0</v>
      </c>
      <c r="AS54" s="17">
        <f t="shared" ca="1" si="70"/>
        <v>0</v>
      </c>
      <c r="AT54" s="17">
        <f t="shared" ca="1" si="70"/>
        <v>0</v>
      </c>
      <c r="AU54" s="17">
        <f t="shared" ca="1" si="70"/>
        <v>0</v>
      </c>
      <c r="AV54" s="17">
        <f t="shared" ca="1" si="70"/>
        <v>0</v>
      </c>
      <c r="AW54" s="17">
        <f t="shared" ca="1" si="70"/>
        <v>0</v>
      </c>
      <c r="AX54" s="17">
        <f t="shared" ref="AX54:BK54" ca="1" si="71">SUM(AX52:AX53)</f>
        <v>0</v>
      </c>
      <c r="AY54" s="17">
        <f t="shared" ca="1" si="71"/>
        <v>0</v>
      </c>
      <c r="AZ54" s="17">
        <f t="shared" ca="1" si="71"/>
        <v>0</v>
      </c>
      <c r="BA54" s="17">
        <f t="shared" ca="1" si="71"/>
        <v>0</v>
      </c>
      <c r="BB54" s="17">
        <f t="shared" ca="1" si="71"/>
        <v>0</v>
      </c>
      <c r="BC54" s="17">
        <f t="shared" ca="1" si="71"/>
        <v>0</v>
      </c>
      <c r="BD54" s="17">
        <f t="shared" ca="1" si="71"/>
        <v>0</v>
      </c>
      <c r="BE54" s="17">
        <f t="shared" ca="1" si="71"/>
        <v>0</v>
      </c>
      <c r="BF54" s="17">
        <f t="shared" ca="1" si="71"/>
        <v>0</v>
      </c>
      <c r="BG54" s="17">
        <f t="shared" ca="1" si="71"/>
        <v>0</v>
      </c>
      <c r="BH54" s="17">
        <f t="shared" ca="1" si="71"/>
        <v>0</v>
      </c>
      <c r="BI54" s="17">
        <f t="shared" ca="1" si="71"/>
        <v>0</v>
      </c>
      <c r="BJ54" s="17">
        <f t="shared" ca="1" si="71"/>
        <v>0</v>
      </c>
      <c r="BK54" s="17">
        <f t="shared" ca="1" si="71"/>
        <v>0</v>
      </c>
    </row>
    <row r="55" spans="1:63">
      <c r="A55" s="11"/>
      <c r="B55" s="9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</row>
    <row r="56" spans="1:63">
      <c r="A56" s="102" t="s">
        <v>222</v>
      </c>
      <c r="B56" s="99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</row>
    <row r="57" spans="1:63">
      <c r="A57" s="11" t="s">
        <v>223</v>
      </c>
      <c r="B57" s="99"/>
      <c r="C57" s="101">
        <v>0</v>
      </c>
      <c r="D57" s="17">
        <f t="shared" ref="D57:AN57" ca="1" si="72">IF(D8&gt;$B$48,0,C60)</f>
        <v>0</v>
      </c>
      <c r="E57" s="17">
        <f t="shared" ca="1" si="72"/>
        <v>0</v>
      </c>
      <c r="F57" s="17">
        <f t="shared" ca="1" si="72"/>
        <v>0</v>
      </c>
      <c r="G57" s="17">
        <f t="shared" ca="1" si="72"/>
        <v>0</v>
      </c>
      <c r="H57" s="17">
        <f t="shared" ca="1" si="72"/>
        <v>0</v>
      </c>
      <c r="I57" s="17">
        <f t="shared" ca="1" si="72"/>
        <v>0</v>
      </c>
      <c r="J57" s="17">
        <f t="shared" ca="1" si="72"/>
        <v>0</v>
      </c>
      <c r="K57" s="17">
        <f t="shared" ca="1" si="72"/>
        <v>0</v>
      </c>
      <c r="L57" s="17">
        <f t="shared" ca="1" si="72"/>
        <v>0</v>
      </c>
      <c r="M57" s="17">
        <f t="shared" ca="1" si="72"/>
        <v>0</v>
      </c>
      <c r="N57" s="17">
        <f t="shared" ca="1" si="72"/>
        <v>0</v>
      </c>
      <c r="O57" s="17">
        <f t="shared" ca="1" si="72"/>
        <v>0</v>
      </c>
      <c r="P57" s="17">
        <f t="shared" ca="1" si="72"/>
        <v>0</v>
      </c>
      <c r="Q57" s="17">
        <f t="shared" ca="1" si="72"/>
        <v>0</v>
      </c>
      <c r="R57" s="17">
        <f t="shared" ca="1" si="72"/>
        <v>0</v>
      </c>
      <c r="S57" s="17">
        <f t="shared" ca="1" si="72"/>
        <v>0</v>
      </c>
      <c r="T57" s="17">
        <f t="shared" ca="1" si="72"/>
        <v>0</v>
      </c>
      <c r="U57" s="17">
        <f t="shared" ca="1" si="72"/>
        <v>0</v>
      </c>
      <c r="V57" s="17">
        <f t="shared" ca="1" si="72"/>
        <v>0</v>
      </c>
      <c r="W57" s="17">
        <f t="shared" ca="1" si="72"/>
        <v>0</v>
      </c>
      <c r="X57" s="17">
        <f t="shared" ca="1" si="72"/>
        <v>0</v>
      </c>
      <c r="Y57" s="17">
        <f t="shared" ca="1" si="72"/>
        <v>0</v>
      </c>
      <c r="Z57" s="17">
        <f t="shared" ca="1" si="72"/>
        <v>0</v>
      </c>
      <c r="AA57" s="17">
        <f t="shared" ca="1" si="72"/>
        <v>0</v>
      </c>
      <c r="AB57" s="17">
        <f t="shared" ca="1" si="72"/>
        <v>0</v>
      </c>
      <c r="AC57" s="17">
        <f t="shared" ca="1" si="72"/>
        <v>0</v>
      </c>
      <c r="AD57" s="17">
        <f t="shared" ca="1" si="72"/>
        <v>0</v>
      </c>
      <c r="AE57" s="17">
        <f t="shared" ca="1" si="72"/>
        <v>0</v>
      </c>
      <c r="AF57" s="17">
        <f t="shared" ca="1" si="72"/>
        <v>0</v>
      </c>
      <c r="AG57" s="17">
        <f t="shared" ca="1" si="72"/>
        <v>0</v>
      </c>
      <c r="AH57" s="17">
        <f t="shared" ca="1" si="72"/>
        <v>0</v>
      </c>
      <c r="AI57" s="17">
        <f t="shared" ca="1" si="72"/>
        <v>0</v>
      </c>
      <c r="AJ57" s="17">
        <f t="shared" ca="1" si="72"/>
        <v>-27.527236955531407</v>
      </c>
      <c r="AK57" s="17">
        <f t="shared" ca="1" si="72"/>
        <v>-88.576822822325198</v>
      </c>
      <c r="AL57" s="17">
        <f t="shared" ca="1" si="72"/>
        <v>-73.955249201465989</v>
      </c>
      <c r="AM57" s="17">
        <f t="shared" ca="1" si="72"/>
        <v>-194.88947528585683</v>
      </c>
      <c r="AN57" s="17">
        <f t="shared" si="72"/>
        <v>0</v>
      </c>
      <c r="AO57" s="17">
        <f t="shared" ref="AO57" si="73">IF(AO8&gt;$B$48,0,AN60)</f>
        <v>0</v>
      </c>
      <c r="AP57" s="17">
        <f t="shared" ref="AP57" si="74">IF(AP8&gt;$B$48,0,AO60)</f>
        <v>0</v>
      </c>
      <c r="AQ57" s="17">
        <f t="shared" ref="AQ57" si="75">IF(AQ8&gt;$B$48,0,AP60)</f>
        <v>0</v>
      </c>
      <c r="AR57" s="17">
        <f t="shared" ref="AR57" si="76">IF(AR8&gt;$B$48,0,AQ60)</f>
        <v>0</v>
      </c>
      <c r="AS57" s="17">
        <f t="shared" ref="AS57" si="77">IF(AS8&gt;$B$48,0,AR60)</f>
        <v>0</v>
      </c>
      <c r="AT57" s="17">
        <f t="shared" ref="AT57" si="78">IF(AT8&gt;$B$48,0,AS60)</f>
        <v>0</v>
      </c>
      <c r="AU57" s="17">
        <f t="shared" ref="AU57" si="79">IF(AU8&gt;$B$48,0,AT60)</f>
        <v>0</v>
      </c>
      <c r="AV57" s="17">
        <f t="shared" ref="AV57" si="80">IF(AV8&gt;$B$48,0,AU60)</f>
        <v>0</v>
      </c>
      <c r="AW57" s="17">
        <f t="shared" ref="AW57" si="81">IF(AW8&gt;$B$48,0,AV60)</f>
        <v>0</v>
      </c>
      <c r="AX57" s="17">
        <f t="shared" ref="AX57" si="82">IF(AX8&gt;$B$48,0,AW60)</f>
        <v>0</v>
      </c>
      <c r="AY57" s="17">
        <f t="shared" ref="AY57" si="83">IF(AY8&gt;$B$48,0,AX60)</f>
        <v>0</v>
      </c>
      <c r="AZ57" s="17">
        <f t="shared" ref="AZ57" si="84">IF(AZ8&gt;$B$48,0,AY60)</f>
        <v>0</v>
      </c>
      <c r="BA57" s="17">
        <f t="shared" ref="BA57" si="85">IF(BA8&gt;$B$48,0,AZ60)</f>
        <v>0</v>
      </c>
      <c r="BB57" s="17">
        <f t="shared" ref="BB57" si="86">IF(BB8&gt;$B$48,0,BA60)</f>
        <v>0</v>
      </c>
      <c r="BC57" s="17">
        <f t="shared" ref="BC57" si="87">IF(BC8&gt;$B$48,0,BB60)</f>
        <v>0</v>
      </c>
      <c r="BD57" s="17">
        <f t="shared" ref="BD57" si="88">IF(BD8&gt;$B$48,0,BC60)</f>
        <v>0</v>
      </c>
      <c r="BE57" s="17">
        <f t="shared" ref="BE57" si="89">IF(BE8&gt;$B$48,0,BD60)</f>
        <v>0</v>
      </c>
      <c r="BF57" s="17">
        <f t="shared" ref="BF57" si="90">IF(BF8&gt;$B$48,0,BE60)</f>
        <v>0</v>
      </c>
      <c r="BG57" s="17">
        <f t="shared" ref="BG57" si="91">IF(BG8&gt;$B$48,0,BF60)</f>
        <v>0</v>
      </c>
      <c r="BH57" s="17">
        <f t="shared" ref="BH57" si="92">IF(BH8&gt;$B$48,0,BG60)</f>
        <v>0</v>
      </c>
      <c r="BI57" s="17">
        <f t="shared" ref="BI57" si="93">IF(BI8&gt;$B$48,0,BH60)</f>
        <v>0</v>
      </c>
      <c r="BJ57" s="17">
        <f t="shared" ref="BJ57" si="94">IF(BJ8&gt;$B$48,0,BI60)</f>
        <v>0</v>
      </c>
      <c r="BK57" s="17">
        <f t="shared" ref="BK57" si="95">IF(BK8&gt;$B$48,0,BJ60)</f>
        <v>0</v>
      </c>
    </row>
    <row r="58" spans="1:63">
      <c r="A58" s="11" t="s">
        <v>224</v>
      </c>
      <c r="B58" s="99"/>
      <c r="C58" s="17">
        <f ca="1">C53</f>
        <v>0</v>
      </c>
      <c r="D58" s="17">
        <f ca="1">D53</f>
        <v>0</v>
      </c>
      <c r="E58" s="17">
        <f t="shared" ref="E58:AN58" ca="1" si="96">E53</f>
        <v>0</v>
      </c>
      <c r="F58" s="17">
        <f t="shared" ca="1" si="96"/>
        <v>0</v>
      </c>
      <c r="G58" s="17">
        <f t="shared" ca="1" si="96"/>
        <v>0</v>
      </c>
      <c r="H58" s="17">
        <f t="shared" ca="1" si="96"/>
        <v>0</v>
      </c>
      <c r="I58" s="17">
        <f t="shared" ca="1" si="96"/>
        <v>0</v>
      </c>
      <c r="J58" s="17">
        <f t="shared" ca="1" si="96"/>
        <v>0</v>
      </c>
      <c r="K58" s="17">
        <f t="shared" ca="1" si="96"/>
        <v>0</v>
      </c>
      <c r="L58" s="17">
        <f t="shared" ca="1" si="96"/>
        <v>0</v>
      </c>
      <c r="M58" s="17">
        <f t="shared" ca="1" si="96"/>
        <v>0</v>
      </c>
      <c r="N58" s="17">
        <f t="shared" ca="1" si="96"/>
        <v>0</v>
      </c>
      <c r="O58" s="17">
        <f t="shared" ca="1" si="96"/>
        <v>0</v>
      </c>
      <c r="P58" s="17">
        <f t="shared" ca="1" si="96"/>
        <v>0</v>
      </c>
      <c r="Q58" s="17">
        <f t="shared" ca="1" si="96"/>
        <v>0</v>
      </c>
      <c r="R58" s="17">
        <f t="shared" ca="1" si="96"/>
        <v>0</v>
      </c>
      <c r="S58" s="17">
        <f t="shared" ca="1" si="96"/>
        <v>0</v>
      </c>
      <c r="T58" s="17">
        <f t="shared" ca="1" si="96"/>
        <v>0</v>
      </c>
      <c r="U58" s="17">
        <f t="shared" ca="1" si="96"/>
        <v>0</v>
      </c>
      <c r="V58" s="17">
        <f t="shared" ca="1" si="96"/>
        <v>0</v>
      </c>
      <c r="W58" s="17">
        <f t="shared" ca="1" si="96"/>
        <v>0</v>
      </c>
      <c r="X58" s="17">
        <f t="shared" ca="1" si="96"/>
        <v>0</v>
      </c>
      <c r="Y58" s="17">
        <f t="shared" ca="1" si="96"/>
        <v>0</v>
      </c>
      <c r="Z58" s="17">
        <f t="shared" ca="1" si="96"/>
        <v>0</v>
      </c>
      <c r="AA58" s="17">
        <f t="shared" ca="1" si="96"/>
        <v>0</v>
      </c>
      <c r="AB58" s="17">
        <f t="shared" ca="1" si="96"/>
        <v>0</v>
      </c>
      <c r="AC58" s="17">
        <f t="shared" ca="1" si="96"/>
        <v>0</v>
      </c>
      <c r="AD58" s="17">
        <f t="shared" ca="1" si="96"/>
        <v>0</v>
      </c>
      <c r="AE58" s="17">
        <f t="shared" ca="1" si="96"/>
        <v>0</v>
      </c>
      <c r="AF58" s="17">
        <f t="shared" ca="1" si="96"/>
        <v>0</v>
      </c>
      <c r="AG58" s="17">
        <f t="shared" ca="1" si="96"/>
        <v>0</v>
      </c>
      <c r="AH58" s="17">
        <f t="shared" ca="1" si="96"/>
        <v>0</v>
      </c>
      <c r="AI58" s="17">
        <f t="shared" ca="1" si="96"/>
        <v>-22.818632286129287</v>
      </c>
      <c r="AJ58" s="17">
        <f t="shared" ca="1" si="96"/>
        <v>0</v>
      </c>
      <c r="AK58" s="17">
        <f t="shared" ca="1" si="96"/>
        <v>0</v>
      </c>
      <c r="AL58" s="17">
        <f t="shared" ca="1" si="96"/>
        <v>0</v>
      </c>
      <c r="AM58" s="17">
        <f t="shared" ca="1" si="96"/>
        <v>0</v>
      </c>
      <c r="AN58" s="17">
        <f t="shared" ca="1" si="96"/>
        <v>0</v>
      </c>
      <c r="AO58" s="17">
        <f t="shared" ref="AO58:AW58" ca="1" si="97">AO53</f>
        <v>0</v>
      </c>
      <c r="AP58" s="17">
        <f t="shared" ca="1" si="97"/>
        <v>0</v>
      </c>
      <c r="AQ58" s="17">
        <f t="shared" ca="1" si="97"/>
        <v>0</v>
      </c>
      <c r="AR58" s="17">
        <f t="shared" ca="1" si="97"/>
        <v>0</v>
      </c>
      <c r="AS58" s="17">
        <f t="shared" ca="1" si="97"/>
        <v>0</v>
      </c>
      <c r="AT58" s="17">
        <f t="shared" ca="1" si="97"/>
        <v>0</v>
      </c>
      <c r="AU58" s="17">
        <f t="shared" ca="1" si="97"/>
        <v>0</v>
      </c>
      <c r="AV58" s="17">
        <f t="shared" ca="1" si="97"/>
        <v>0</v>
      </c>
      <c r="AW58" s="17">
        <f t="shared" ca="1" si="97"/>
        <v>0</v>
      </c>
      <c r="AX58" s="17">
        <f t="shared" ref="AX58:BK58" ca="1" si="98">AX53</f>
        <v>0</v>
      </c>
      <c r="AY58" s="17">
        <f t="shared" ca="1" si="98"/>
        <v>0</v>
      </c>
      <c r="AZ58" s="17">
        <f t="shared" ca="1" si="98"/>
        <v>0</v>
      </c>
      <c r="BA58" s="17">
        <f t="shared" ca="1" si="98"/>
        <v>0</v>
      </c>
      <c r="BB58" s="17">
        <f t="shared" ca="1" si="98"/>
        <v>0</v>
      </c>
      <c r="BC58" s="17">
        <f t="shared" ca="1" si="98"/>
        <v>0</v>
      </c>
      <c r="BD58" s="17">
        <f t="shared" ca="1" si="98"/>
        <v>0</v>
      </c>
      <c r="BE58" s="17">
        <f t="shared" ca="1" si="98"/>
        <v>0</v>
      </c>
      <c r="BF58" s="17">
        <f t="shared" ca="1" si="98"/>
        <v>0</v>
      </c>
      <c r="BG58" s="17">
        <f t="shared" ca="1" si="98"/>
        <v>0</v>
      </c>
      <c r="BH58" s="17">
        <f t="shared" ca="1" si="98"/>
        <v>0</v>
      </c>
      <c r="BI58" s="17">
        <f t="shared" ca="1" si="98"/>
        <v>0</v>
      </c>
      <c r="BJ58" s="17">
        <f t="shared" ca="1" si="98"/>
        <v>0</v>
      </c>
      <c r="BK58" s="17">
        <f t="shared" ca="1" si="98"/>
        <v>0</v>
      </c>
    </row>
    <row r="59" spans="1:63">
      <c r="A59" s="11" t="s">
        <v>158</v>
      </c>
      <c r="B59" s="99">
        <f>Inputs!R68</f>
        <v>0.17</v>
      </c>
      <c r="C59" s="17">
        <f t="shared" ref="C59:AN59" si="99">C57*$B$59/12</f>
        <v>0</v>
      </c>
      <c r="D59" s="17">
        <f t="shared" ca="1" si="99"/>
        <v>0</v>
      </c>
      <c r="E59" s="17">
        <f t="shared" ca="1" si="99"/>
        <v>0</v>
      </c>
      <c r="F59" s="17">
        <f t="shared" ca="1" si="99"/>
        <v>0</v>
      </c>
      <c r="G59" s="17">
        <f t="shared" ca="1" si="99"/>
        <v>0</v>
      </c>
      <c r="H59" s="17">
        <f t="shared" ca="1" si="99"/>
        <v>0</v>
      </c>
      <c r="I59" s="17">
        <f t="shared" ca="1" si="99"/>
        <v>0</v>
      </c>
      <c r="J59" s="17">
        <f t="shared" ca="1" si="99"/>
        <v>0</v>
      </c>
      <c r="K59" s="17">
        <f t="shared" ca="1" si="99"/>
        <v>0</v>
      </c>
      <c r="L59" s="17">
        <f t="shared" ca="1" si="99"/>
        <v>0</v>
      </c>
      <c r="M59" s="17">
        <f t="shared" ca="1" si="99"/>
        <v>0</v>
      </c>
      <c r="N59" s="17">
        <f t="shared" ca="1" si="99"/>
        <v>0</v>
      </c>
      <c r="O59" s="17">
        <f t="shared" ca="1" si="99"/>
        <v>0</v>
      </c>
      <c r="P59" s="17">
        <f t="shared" ca="1" si="99"/>
        <v>0</v>
      </c>
      <c r="Q59" s="17">
        <f t="shared" ca="1" si="99"/>
        <v>0</v>
      </c>
      <c r="R59" s="17">
        <f t="shared" ca="1" si="99"/>
        <v>0</v>
      </c>
      <c r="S59" s="17">
        <f t="shared" ca="1" si="99"/>
        <v>0</v>
      </c>
      <c r="T59" s="17">
        <f t="shared" ca="1" si="99"/>
        <v>0</v>
      </c>
      <c r="U59" s="17">
        <f t="shared" ca="1" si="99"/>
        <v>0</v>
      </c>
      <c r="V59" s="17">
        <f t="shared" ca="1" si="99"/>
        <v>0</v>
      </c>
      <c r="W59" s="17">
        <f t="shared" ca="1" si="99"/>
        <v>0</v>
      </c>
      <c r="X59" s="17">
        <f t="shared" ca="1" si="99"/>
        <v>0</v>
      </c>
      <c r="Y59" s="17">
        <f t="shared" ca="1" si="99"/>
        <v>0</v>
      </c>
      <c r="Z59" s="17">
        <f t="shared" ca="1" si="99"/>
        <v>0</v>
      </c>
      <c r="AA59" s="17">
        <f t="shared" ca="1" si="99"/>
        <v>0</v>
      </c>
      <c r="AB59" s="17">
        <f t="shared" ca="1" si="99"/>
        <v>0</v>
      </c>
      <c r="AC59" s="17">
        <f t="shared" ca="1" si="99"/>
        <v>0</v>
      </c>
      <c r="AD59" s="17">
        <f t="shared" ca="1" si="99"/>
        <v>0</v>
      </c>
      <c r="AE59" s="17">
        <f t="shared" ca="1" si="99"/>
        <v>0</v>
      </c>
      <c r="AF59" s="17">
        <f t="shared" ca="1" si="99"/>
        <v>0</v>
      </c>
      <c r="AG59" s="17">
        <f t="shared" ca="1" si="99"/>
        <v>0</v>
      </c>
      <c r="AH59" s="17">
        <f t="shared" ca="1" si="99"/>
        <v>0</v>
      </c>
      <c r="AI59" s="17">
        <f t="shared" ca="1" si="99"/>
        <v>0</v>
      </c>
      <c r="AJ59" s="17">
        <f t="shared" ca="1" si="99"/>
        <v>-0.38996919020336168</v>
      </c>
      <c r="AK59" s="17">
        <f t="shared" ca="1" si="99"/>
        <v>-1.2548383233162739</v>
      </c>
      <c r="AL59" s="17">
        <f t="shared" ca="1" si="99"/>
        <v>-1.047699363687435</v>
      </c>
      <c r="AM59" s="17">
        <f t="shared" ca="1" si="99"/>
        <v>-2.7609342332163056</v>
      </c>
      <c r="AN59" s="17">
        <f t="shared" si="99"/>
        <v>0</v>
      </c>
      <c r="AO59" s="17">
        <f t="shared" ref="AO59:AW59" si="100">AO57*$B$59/12</f>
        <v>0</v>
      </c>
      <c r="AP59" s="17">
        <f t="shared" si="100"/>
        <v>0</v>
      </c>
      <c r="AQ59" s="17">
        <f t="shared" si="100"/>
        <v>0</v>
      </c>
      <c r="AR59" s="17">
        <f t="shared" si="100"/>
        <v>0</v>
      </c>
      <c r="AS59" s="17">
        <f t="shared" si="100"/>
        <v>0</v>
      </c>
      <c r="AT59" s="17">
        <f t="shared" si="100"/>
        <v>0</v>
      </c>
      <c r="AU59" s="17">
        <f t="shared" si="100"/>
        <v>0</v>
      </c>
      <c r="AV59" s="17">
        <f t="shared" si="100"/>
        <v>0</v>
      </c>
      <c r="AW59" s="17">
        <f t="shared" si="100"/>
        <v>0</v>
      </c>
      <c r="AX59" s="17">
        <f t="shared" ref="AX59:BK59" si="101">AX57*$B$59/12</f>
        <v>0</v>
      </c>
      <c r="AY59" s="17">
        <f t="shared" si="101"/>
        <v>0</v>
      </c>
      <c r="AZ59" s="17">
        <f t="shared" si="101"/>
        <v>0</v>
      </c>
      <c r="BA59" s="17">
        <f t="shared" si="101"/>
        <v>0</v>
      </c>
      <c r="BB59" s="17">
        <f t="shared" si="101"/>
        <v>0</v>
      </c>
      <c r="BC59" s="17">
        <f t="shared" si="101"/>
        <v>0</v>
      </c>
      <c r="BD59" s="17">
        <f t="shared" si="101"/>
        <v>0</v>
      </c>
      <c r="BE59" s="17">
        <f t="shared" si="101"/>
        <v>0</v>
      </c>
      <c r="BF59" s="17">
        <f t="shared" si="101"/>
        <v>0</v>
      </c>
      <c r="BG59" s="17">
        <f t="shared" si="101"/>
        <v>0</v>
      </c>
      <c r="BH59" s="17">
        <f t="shared" si="101"/>
        <v>0</v>
      </c>
      <c r="BI59" s="17">
        <f t="shared" si="101"/>
        <v>0</v>
      </c>
      <c r="BJ59" s="17">
        <f t="shared" si="101"/>
        <v>0</v>
      </c>
      <c r="BK59" s="17">
        <f t="shared" si="101"/>
        <v>0</v>
      </c>
    </row>
    <row r="60" spans="1:63">
      <c r="A60" s="11" t="s">
        <v>225</v>
      </c>
      <c r="B60" s="100">
        <f ca="1">MIN(C60:BK60)</f>
        <v>-194.88947528585683</v>
      </c>
      <c r="C60" s="17">
        <f ca="1">SUM(C57:C59)</f>
        <v>0</v>
      </c>
      <c r="D60" s="17">
        <f ca="1">SUM(D57:D59)</f>
        <v>0</v>
      </c>
      <c r="E60" s="17">
        <f t="shared" ref="E60:AN60" ca="1" si="102">SUM(E57:E59)</f>
        <v>0</v>
      </c>
      <c r="F60" s="17">
        <f t="shared" ca="1" si="102"/>
        <v>0</v>
      </c>
      <c r="G60" s="17">
        <f t="shared" ca="1" si="102"/>
        <v>0</v>
      </c>
      <c r="H60" s="17">
        <f t="shared" ca="1" si="102"/>
        <v>0</v>
      </c>
      <c r="I60" s="17">
        <f t="shared" ca="1" si="102"/>
        <v>0</v>
      </c>
      <c r="J60" s="17">
        <f t="shared" ca="1" si="102"/>
        <v>0</v>
      </c>
      <c r="K60" s="17">
        <f t="shared" ca="1" si="102"/>
        <v>0</v>
      </c>
      <c r="L60" s="17">
        <f t="shared" ca="1" si="102"/>
        <v>0</v>
      </c>
      <c r="M60" s="17">
        <f t="shared" ca="1" si="102"/>
        <v>0</v>
      </c>
      <c r="N60" s="17">
        <f t="shared" ca="1" si="102"/>
        <v>0</v>
      </c>
      <c r="O60" s="17">
        <f t="shared" ca="1" si="102"/>
        <v>0</v>
      </c>
      <c r="P60" s="17">
        <f t="shared" ca="1" si="102"/>
        <v>0</v>
      </c>
      <c r="Q60" s="17">
        <f t="shared" ca="1" si="102"/>
        <v>0</v>
      </c>
      <c r="R60" s="17">
        <f t="shared" ca="1" si="102"/>
        <v>0</v>
      </c>
      <c r="S60" s="17">
        <f t="shared" ca="1" si="102"/>
        <v>0</v>
      </c>
      <c r="T60" s="17">
        <f t="shared" ca="1" si="102"/>
        <v>0</v>
      </c>
      <c r="U60" s="17">
        <f t="shared" ca="1" si="102"/>
        <v>0</v>
      </c>
      <c r="V60" s="17">
        <f t="shared" ca="1" si="102"/>
        <v>0</v>
      </c>
      <c r="W60" s="17">
        <f t="shared" ca="1" si="102"/>
        <v>0</v>
      </c>
      <c r="X60" s="17">
        <f t="shared" ca="1" si="102"/>
        <v>0</v>
      </c>
      <c r="Y60" s="17">
        <f t="shared" ca="1" si="102"/>
        <v>0</v>
      </c>
      <c r="Z60" s="17">
        <f t="shared" ca="1" si="102"/>
        <v>0</v>
      </c>
      <c r="AA60" s="17">
        <f t="shared" ca="1" si="102"/>
        <v>0</v>
      </c>
      <c r="AB60" s="17">
        <f t="shared" ca="1" si="102"/>
        <v>0</v>
      </c>
      <c r="AC60" s="17">
        <f t="shared" ca="1" si="102"/>
        <v>0</v>
      </c>
      <c r="AD60" s="17">
        <f t="shared" ca="1" si="102"/>
        <v>0</v>
      </c>
      <c r="AE60" s="17">
        <f t="shared" ca="1" si="102"/>
        <v>0</v>
      </c>
      <c r="AF60" s="17">
        <f t="shared" ca="1" si="102"/>
        <v>0</v>
      </c>
      <c r="AG60" s="17">
        <f t="shared" ca="1" si="102"/>
        <v>0</v>
      </c>
      <c r="AH60" s="17">
        <f t="shared" ca="1" si="102"/>
        <v>0</v>
      </c>
      <c r="AI60" s="17">
        <f t="shared" ca="1" si="102"/>
        <v>-22.818632286129287</v>
      </c>
      <c r="AJ60" s="17">
        <f t="shared" ca="1" si="102"/>
        <v>-27.91720614573477</v>
      </c>
      <c r="AK60" s="17">
        <f t="shared" ca="1" si="102"/>
        <v>-89.831661145641476</v>
      </c>
      <c r="AL60" s="17">
        <f t="shared" ca="1" si="102"/>
        <v>-75.002948565153417</v>
      </c>
      <c r="AM60" s="17">
        <f t="shared" ca="1" si="102"/>
        <v>-197.65040951907315</v>
      </c>
      <c r="AN60" s="17">
        <f t="shared" ca="1" si="102"/>
        <v>0</v>
      </c>
      <c r="AO60" s="17">
        <f t="shared" ref="AO60:AW60" ca="1" si="103">SUM(AO57:AO59)</f>
        <v>0</v>
      </c>
      <c r="AP60" s="17">
        <f t="shared" ca="1" si="103"/>
        <v>0</v>
      </c>
      <c r="AQ60" s="17">
        <f t="shared" ca="1" si="103"/>
        <v>0</v>
      </c>
      <c r="AR60" s="17">
        <f t="shared" ca="1" si="103"/>
        <v>0</v>
      </c>
      <c r="AS60" s="17">
        <f t="shared" ca="1" si="103"/>
        <v>0</v>
      </c>
      <c r="AT60" s="17">
        <f t="shared" ca="1" si="103"/>
        <v>0</v>
      </c>
      <c r="AU60" s="17">
        <f t="shared" ca="1" si="103"/>
        <v>0</v>
      </c>
      <c r="AV60" s="17">
        <f t="shared" ca="1" si="103"/>
        <v>0</v>
      </c>
      <c r="AW60" s="17">
        <f t="shared" ca="1" si="103"/>
        <v>0</v>
      </c>
      <c r="AX60" s="17">
        <f t="shared" ref="AX60:BK60" ca="1" si="104">SUM(AX57:AX59)</f>
        <v>0</v>
      </c>
      <c r="AY60" s="17">
        <f t="shared" ca="1" si="104"/>
        <v>0</v>
      </c>
      <c r="AZ60" s="17">
        <f t="shared" ca="1" si="104"/>
        <v>0</v>
      </c>
      <c r="BA60" s="17">
        <f t="shared" ca="1" si="104"/>
        <v>0</v>
      </c>
      <c r="BB60" s="17">
        <f t="shared" ca="1" si="104"/>
        <v>0</v>
      </c>
      <c r="BC60" s="17">
        <f t="shared" ca="1" si="104"/>
        <v>0</v>
      </c>
      <c r="BD60" s="17">
        <f t="shared" ca="1" si="104"/>
        <v>0</v>
      </c>
      <c r="BE60" s="17">
        <f t="shared" ca="1" si="104"/>
        <v>0</v>
      </c>
      <c r="BF60" s="17">
        <f t="shared" ca="1" si="104"/>
        <v>0</v>
      </c>
      <c r="BG60" s="17">
        <f t="shared" ca="1" si="104"/>
        <v>0</v>
      </c>
      <c r="BH60" s="17">
        <f t="shared" ca="1" si="104"/>
        <v>0</v>
      </c>
      <c r="BI60" s="17">
        <f t="shared" ca="1" si="104"/>
        <v>0</v>
      </c>
      <c r="BJ60" s="17">
        <f t="shared" ca="1" si="104"/>
        <v>0</v>
      </c>
      <c r="BK60" s="17">
        <f t="shared" ca="1" si="104"/>
        <v>0</v>
      </c>
    </row>
    <row r="61" spans="1:63">
      <c r="A61" s="11"/>
      <c r="B61" s="10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3">
      <c r="A62" s="373" t="s">
        <v>226</v>
      </c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</row>
    <row r="63" spans="1:63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>
      <c r="A64" s="11" t="s">
        <v>227</v>
      </c>
      <c r="C64" s="22">
        <f>IF(AND(C8&gt;=Inputs!$R$94,C8&lt;=Inputs!$R$95),1/(Inputs!$R$95-Inputs!$R$94+1),0)</f>
        <v>0</v>
      </c>
      <c r="D64" s="22">
        <f>IF(AND(D8&gt;=Inputs!$R$94,D8&lt;=Inputs!$R$95),1/(Inputs!$R$95-Inputs!$R$94+1),0)</f>
        <v>0</v>
      </c>
      <c r="E64" s="22">
        <f>IF(AND(E8&gt;=Inputs!$R$94,E8&lt;=Inputs!$R$95),1/(Inputs!$R$95-Inputs!$R$94+1),0)</f>
        <v>0</v>
      </c>
      <c r="F64" s="22">
        <f>IF(AND(F8&gt;=Inputs!$R$94,F8&lt;=Inputs!$R$95),1/(Inputs!$R$95-Inputs!$R$94+1),0)</f>
        <v>0</v>
      </c>
      <c r="G64" s="22">
        <f>IF(AND(G8&gt;=Inputs!$R$94,G8&lt;=Inputs!$R$95),1/(Inputs!$R$95-Inputs!$R$94+1),0)</f>
        <v>0</v>
      </c>
      <c r="H64" s="22">
        <f>IF(AND(H8&gt;=Inputs!$R$94,H8&lt;=Inputs!$R$95),1/(Inputs!$R$95-Inputs!$R$94+1),0)</f>
        <v>0</v>
      </c>
      <c r="I64" s="22">
        <f>IF(AND(I8&gt;=Inputs!$R$94,I8&lt;=Inputs!$R$95),1/(Inputs!$R$95-Inputs!$R$94+1),0)</f>
        <v>0</v>
      </c>
      <c r="J64" s="22">
        <f>IF(AND(J8&gt;=Inputs!$R$94,J8&lt;=Inputs!$R$95),1/(Inputs!$R$95-Inputs!$R$94+1),0)</f>
        <v>0</v>
      </c>
      <c r="K64" s="22">
        <f>IF(AND(K8&gt;=Inputs!$R$94,K8&lt;=Inputs!$R$95),1/(Inputs!$R$95-Inputs!$R$94+1),0)</f>
        <v>0</v>
      </c>
      <c r="L64" s="22">
        <f>IF(AND(L8&gt;=Inputs!$R$94,L8&lt;=Inputs!$R$95),1/(Inputs!$R$95-Inputs!$R$94+1),0)</f>
        <v>0</v>
      </c>
      <c r="M64" s="22">
        <f>IF(AND(M8&gt;=Inputs!$R$94,M8&lt;=Inputs!$R$95),1/(Inputs!$R$95-Inputs!$R$94+1),0)</f>
        <v>0</v>
      </c>
      <c r="N64" s="22">
        <f>IF(AND(N8&gt;=Inputs!$R$94,N8&lt;=Inputs!$R$95),1/(Inputs!$R$95-Inputs!$R$94+1),0)</f>
        <v>0</v>
      </c>
      <c r="O64" s="22">
        <f>IF(AND(O8&gt;=Inputs!$R$94,O8&lt;=Inputs!$R$95),1/(Inputs!$R$95-Inputs!$R$94+1),0)</f>
        <v>0</v>
      </c>
      <c r="P64" s="22">
        <f>IF(AND(P8&gt;=Inputs!$R$94,P8&lt;=Inputs!$R$95),1/(Inputs!$R$95-Inputs!$R$94+1),0)</f>
        <v>0</v>
      </c>
      <c r="Q64" s="22">
        <f>IF(AND(Q8&gt;=Inputs!$R$94,Q8&lt;=Inputs!$R$95),1/(Inputs!$R$95-Inputs!$R$94+1),0)</f>
        <v>0</v>
      </c>
      <c r="R64" s="22">
        <f>IF(AND(R8&gt;=Inputs!$R$94,R8&lt;=Inputs!$R$95),1/(Inputs!$R$95-Inputs!$R$94+1),0)</f>
        <v>0</v>
      </c>
      <c r="S64" s="22">
        <f>IF(AND(S8&gt;=Inputs!$R$94,S8&lt;=Inputs!$R$95),1/(Inputs!$R$95-Inputs!$R$94+1),0)</f>
        <v>0</v>
      </c>
      <c r="T64" s="22">
        <f>IF(AND(T8&gt;=Inputs!$R$94,T8&lt;=Inputs!$R$95),1/(Inputs!$R$95-Inputs!$R$94+1),0)</f>
        <v>0</v>
      </c>
      <c r="U64" s="22">
        <f>IF(AND(U8&gt;=Inputs!$R$94,U8&lt;=Inputs!$R$95),1/(Inputs!$R$95-Inputs!$R$94+1),0)</f>
        <v>0</v>
      </c>
      <c r="V64" s="22">
        <f>IF(AND(V8&gt;=Inputs!$R$94,V8&lt;=Inputs!$R$95),1/(Inputs!$R$95-Inputs!$R$94+1),0)</f>
        <v>0</v>
      </c>
      <c r="W64" s="22">
        <f>IF(AND(W8&gt;=Inputs!$R$94,W8&lt;=Inputs!$R$95),1/(Inputs!$R$95-Inputs!$R$94+1),0)</f>
        <v>0</v>
      </c>
      <c r="X64" s="22">
        <f>IF(AND(X8&gt;=Inputs!$R$94,X8&lt;=Inputs!$R$95),1/(Inputs!$R$95-Inputs!$R$94+1),0)</f>
        <v>0</v>
      </c>
      <c r="Y64" s="22">
        <f>IF(AND(Y8&gt;=Inputs!$R$94,Y8&lt;=Inputs!$R$95),1/(Inputs!$R$95-Inputs!$R$94+1),0)</f>
        <v>0</v>
      </c>
      <c r="Z64" s="22">
        <f>IF(AND(Z8&gt;=Inputs!$R$94,Z8&lt;=Inputs!$R$95),1/(Inputs!$R$95-Inputs!$R$94+1),0)</f>
        <v>0</v>
      </c>
      <c r="AA64" s="22">
        <f>IF(AND(AA8&gt;=Inputs!$R$94,AA8&lt;=Inputs!$R$95),1/(Inputs!$R$95-Inputs!$R$94+1),0)</f>
        <v>0</v>
      </c>
      <c r="AB64" s="22">
        <f>IF(AND(AB8&gt;=Inputs!$R$94,AB8&lt;=Inputs!$R$95),1/(Inputs!$R$95-Inputs!$R$94+1),0)</f>
        <v>8.3333333333333329E-2</v>
      </c>
      <c r="AC64" s="22">
        <f>IF(AND(AC8&gt;=Inputs!$R$94,AC8&lt;=Inputs!$R$95),1/(Inputs!$R$95-Inputs!$R$94+1),0)</f>
        <v>8.3333333333333329E-2</v>
      </c>
      <c r="AD64" s="22">
        <f>IF(AND(AD8&gt;=Inputs!$R$94,AD8&lt;=Inputs!$R$95),1/(Inputs!$R$95-Inputs!$R$94+1),0)</f>
        <v>8.3333333333333329E-2</v>
      </c>
      <c r="AE64" s="22">
        <f>IF(AND(AE8&gt;=Inputs!$R$94,AE8&lt;=Inputs!$R$95),1/(Inputs!$R$95-Inputs!$R$94+1),0)</f>
        <v>8.3333333333333329E-2</v>
      </c>
      <c r="AF64" s="22">
        <f>IF(AND(AF8&gt;=Inputs!$R$94,AF8&lt;=Inputs!$R$95),1/(Inputs!$R$95-Inputs!$R$94+1),0)</f>
        <v>8.3333333333333329E-2</v>
      </c>
      <c r="AG64" s="22">
        <f>IF(AND(AG8&gt;=Inputs!$R$94,AG8&lt;=Inputs!$R$95),1/(Inputs!$R$95-Inputs!$R$94+1),0)</f>
        <v>8.3333333333333329E-2</v>
      </c>
      <c r="AH64" s="22">
        <f>IF(AND(AH8&gt;=Inputs!$R$94,AH8&lt;=Inputs!$R$95),1/(Inputs!$R$95-Inputs!$R$94+1),0)</f>
        <v>8.3333333333333329E-2</v>
      </c>
      <c r="AI64" s="22">
        <f>IF(AND(AI8&gt;=Inputs!$R$94,AI8&lt;=Inputs!$R$95),1/(Inputs!$R$95-Inputs!$R$94+1),0)</f>
        <v>8.3333333333333329E-2</v>
      </c>
      <c r="AJ64" s="22">
        <f>IF(AND(AJ8&gt;=Inputs!$R$94,AJ8&lt;=Inputs!$R$95),1/(Inputs!$R$95-Inputs!$R$94+1),0)</f>
        <v>8.3333333333333329E-2</v>
      </c>
      <c r="AK64" s="22">
        <f>IF(AND(AK8&gt;=Inputs!$R$94,AK8&lt;=Inputs!$R$95),1/(Inputs!$R$95-Inputs!$R$94+1),0)</f>
        <v>8.3333333333333329E-2</v>
      </c>
      <c r="AL64" s="22">
        <f>IF(AND(AL8&gt;=Inputs!$R$94,AL8&lt;=Inputs!$R$95),1/(Inputs!$R$95-Inputs!$R$94+1),0)</f>
        <v>8.3333333333333329E-2</v>
      </c>
      <c r="AM64" s="22">
        <f>IF(AND(AM8&gt;=Inputs!$R$94,AM8&lt;=Inputs!$R$95),1/(Inputs!$R$95-Inputs!$R$94+1),0)</f>
        <v>8.3333333333333329E-2</v>
      </c>
      <c r="AN64" s="22">
        <f>IF(AND(AN8&gt;=Inputs!$R$94,AN8&lt;=Inputs!$R$95),1/(Inputs!$R$95-Inputs!$R$94+1),0)</f>
        <v>0</v>
      </c>
      <c r="AO64" s="22">
        <f>IF(AND(AO8&gt;=Inputs!$R$94,AO8&lt;=Inputs!$R$95),1/(Inputs!$R$95-Inputs!$R$94+1),0)</f>
        <v>0</v>
      </c>
      <c r="AP64" s="22">
        <f>IF(AND(AP8&gt;=Inputs!$R$94,AP8&lt;=Inputs!$R$95),1/(Inputs!$R$95-Inputs!$R$94+1),0)</f>
        <v>0</v>
      </c>
      <c r="AQ64" s="22">
        <f>IF(AND(AQ8&gt;=Inputs!$R$94,AQ8&lt;=Inputs!$R$95),1/(Inputs!$R$95-Inputs!$R$94+1),0)</f>
        <v>0</v>
      </c>
      <c r="AR64" s="22">
        <f>IF(AND(AR8&gt;=Inputs!$R$94,AR8&lt;=Inputs!$R$95),1/(Inputs!$R$95-Inputs!$R$94+1),0)</f>
        <v>0</v>
      </c>
      <c r="AS64" s="22">
        <f>IF(AND(AS8&gt;=Inputs!$R$94,AS8&lt;=Inputs!$R$95),1/(Inputs!$R$95-Inputs!$R$94+1),0)</f>
        <v>0</v>
      </c>
      <c r="AT64" s="22">
        <f>IF(AND(AT8&gt;=Inputs!$R$94,AT8&lt;=Inputs!$R$95),1/(Inputs!$R$95-Inputs!$R$94+1),0)</f>
        <v>0</v>
      </c>
      <c r="AU64" s="22">
        <f>IF(AND(AU8&gt;=Inputs!$R$94,AU8&lt;=Inputs!$R$95),1/(Inputs!$R$95-Inputs!$R$94+1),0)</f>
        <v>0</v>
      </c>
      <c r="AV64" s="22">
        <f>IF(AND(AV8&gt;=Inputs!$R$94,AV8&lt;=Inputs!$R$95),1/(Inputs!$R$95-Inputs!$R$94+1),0)</f>
        <v>0</v>
      </c>
      <c r="AW64" s="22">
        <f>IF(AND(AW8&gt;=Inputs!$R$94,AW8&lt;=Inputs!$R$95),1/(Inputs!$R$95-Inputs!$R$94+1),0)</f>
        <v>0</v>
      </c>
      <c r="AX64" s="22">
        <f>IF(AND(AX8&gt;=Inputs!$R$94,AX8&lt;=Inputs!$R$95),1/(Inputs!$R$95-Inputs!$R$94+1),0)</f>
        <v>0</v>
      </c>
      <c r="AY64" s="22">
        <f>IF(AND(AY8&gt;=Inputs!$R$94,AY8&lt;=Inputs!$R$95),1/(Inputs!$R$95-Inputs!$R$94+1),0)</f>
        <v>0</v>
      </c>
      <c r="AZ64" s="22">
        <f>IF(AND(AZ8&gt;=Inputs!$R$94,AZ8&lt;=Inputs!$R$95),1/(Inputs!$R$95-Inputs!$R$94+1),0)</f>
        <v>0</v>
      </c>
      <c r="BA64" s="22">
        <f>IF(AND(BA8&gt;=Inputs!$R$94,BA8&lt;=Inputs!$R$95),1/(Inputs!$R$95-Inputs!$R$94+1),0)</f>
        <v>0</v>
      </c>
      <c r="BB64" s="22">
        <f>IF(AND(BB8&gt;=Inputs!$R$94,BB8&lt;=Inputs!$R$95),1/(Inputs!$R$95-Inputs!$R$94+1),0)</f>
        <v>0</v>
      </c>
      <c r="BC64" s="22">
        <f>IF(AND(BC8&gt;=Inputs!$R$94,BC8&lt;=Inputs!$R$95),1/(Inputs!$R$95-Inputs!$R$94+1),0)</f>
        <v>0</v>
      </c>
      <c r="BD64" s="22">
        <f>IF(AND(BD8&gt;=Inputs!$R$94,BD8&lt;=Inputs!$R$95),1/(Inputs!$R$95-Inputs!$R$94+1),0)</f>
        <v>0</v>
      </c>
      <c r="BE64" s="22">
        <f>IF(AND(BE8&gt;=Inputs!$R$94,BE8&lt;=Inputs!$R$95),1/(Inputs!$R$95-Inputs!$R$94+1),0)</f>
        <v>0</v>
      </c>
      <c r="BF64" s="22">
        <f>IF(AND(BF8&gt;=Inputs!$R$94,BF8&lt;=Inputs!$R$95),1/(Inputs!$R$95-Inputs!$R$94+1),0)</f>
        <v>0</v>
      </c>
      <c r="BG64" s="22">
        <f>IF(AND(BG8&gt;=Inputs!$R$94,BG8&lt;=Inputs!$R$95),1/(Inputs!$R$95-Inputs!$R$94+1),0)</f>
        <v>0</v>
      </c>
      <c r="BH64" s="22">
        <f>IF(AND(BH8&gt;=Inputs!$R$94,BH8&lt;=Inputs!$R$95),1/(Inputs!$R$95-Inputs!$R$94+1),0)</f>
        <v>0</v>
      </c>
      <c r="BI64" s="22">
        <f>IF(AND(BI8&gt;=Inputs!$R$94,BI8&lt;=Inputs!$R$95),1/(Inputs!$R$95-Inputs!$R$94+1),0)</f>
        <v>0</v>
      </c>
      <c r="BJ64" s="22">
        <f>IF(AND(BJ8&gt;=Inputs!$R$94,BJ8&lt;=Inputs!$R$95),1/(Inputs!$R$95-Inputs!$R$94+1),0)</f>
        <v>0</v>
      </c>
      <c r="BK64" s="22">
        <f>IF(AND(BK8&gt;=Inputs!$R$94,BK8&lt;=Inputs!$R$95),1/(Inputs!$R$95-Inputs!$R$94+1),0)</f>
        <v>0</v>
      </c>
    </row>
    <row r="65" spans="1:63">
      <c r="A65" s="11" t="s">
        <v>228</v>
      </c>
      <c r="C65" s="22">
        <f>C64+B65</f>
        <v>0</v>
      </c>
      <c r="D65" s="22">
        <f t="shared" ref="D65:BK65" si="105">D64+C65</f>
        <v>0</v>
      </c>
      <c r="E65" s="22">
        <f t="shared" si="105"/>
        <v>0</v>
      </c>
      <c r="F65" s="22">
        <f t="shared" si="105"/>
        <v>0</v>
      </c>
      <c r="G65" s="22">
        <f t="shared" si="105"/>
        <v>0</v>
      </c>
      <c r="H65" s="22">
        <f t="shared" si="105"/>
        <v>0</v>
      </c>
      <c r="I65" s="22">
        <f t="shared" si="105"/>
        <v>0</v>
      </c>
      <c r="J65" s="22">
        <f t="shared" si="105"/>
        <v>0</v>
      </c>
      <c r="K65" s="22">
        <f t="shared" si="105"/>
        <v>0</v>
      </c>
      <c r="L65" s="22">
        <f t="shared" si="105"/>
        <v>0</v>
      </c>
      <c r="M65" s="22">
        <f t="shared" si="105"/>
        <v>0</v>
      </c>
      <c r="N65" s="22">
        <f t="shared" si="105"/>
        <v>0</v>
      </c>
      <c r="O65" s="22">
        <f t="shared" si="105"/>
        <v>0</v>
      </c>
      <c r="P65" s="22">
        <f t="shared" si="105"/>
        <v>0</v>
      </c>
      <c r="Q65" s="22">
        <f t="shared" si="105"/>
        <v>0</v>
      </c>
      <c r="R65" s="22">
        <f t="shared" si="105"/>
        <v>0</v>
      </c>
      <c r="S65" s="22">
        <f t="shared" si="105"/>
        <v>0</v>
      </c>
      <c r="T65" s="22">
        <f t="shared" si="105"/>
        <v>0</v>
      </c>
      <c r="U65" s="22">
        <f t="shared" si="105"/>
        <v>0</v>
      </c>
      <c r="V65" s="22">
        <f t="shared" si="105"/>
        <v>0</v>
      </c>
      <c r="W65" s="22">
        <f t="shared" si="105"/>
        <v>0</v>
      </c>
      <c r="X65" s="22">
        <f t="shared" si="105"/>
        <v>0</v>
      </c>
      <c r="Y65" s="22">
        <f t="shared" si="105"/>
        <v>0</v>
      </c>
      <c r="Z65" s="22">
        <f t="shared" si="105"/>
        <v>0</v>
      </c>
      <c r="AA65" s="22">
        <f t="shared" si="105"/>
        <v>0</v>
      </c>
      <c r="AB65" s="22">
        <f t="shared" si="105"/>
        <v>8.3333333333333329E-2</v>
      </c>
      <c r="AC65" s="22">
        <f t="shared" si="105"/>
        <v>0.16666666666666666</v>
      </c>
      <c r="AD65" s="22">
        <f t="shared" si="105"/>
        <v>0.25</v>
      </c>
      <c r="AE65" s="22">
        <f t="shared" si="105"/>
        <v>0.33333333333333331</v>
      </c>
      <c r="AF65" s="22">
        <f t="shared" si="105"/>
        <v>0.41666666666666663</v>
      </c>
      <c r="AG65" s="22">
        <f t="shared" si="105"/>
        <v>0.49999999999999994</v>
      </c>
      <c r="AH65" s="22">
        <f t="shared" si="105"/>
        <v>0.58333333333333326</v>
      </c>
      <c r="AI65" s="22">
        <f t="shared" si="105"/>
        <v>0.66666666666666663</v>
      </c>
      <c r="AJ65" s="22">
        <f t="shared" si="105"/>
        <v>0.75</v>
      </c>
      <c r="AK65" s="22">
        <f t="shared" si="105"/>
        <v>0.83333333333333337</v>
      </c>
      <c r="AL65" s="22">
        <f t="shared" si="105"/>
        <v>0.91666666666666674</v>
      </c>
      <c r="AM65" s="22">
        <f t="shared" si="105"/>
        <v>1</v>
      </c>
      <c r="AN65" s="22">
        <f t="shared" si="105"/>
        <v>1</v>
      </c>
      <c r="AO65" s="22">
        <f t="shared" si="105"/>
        <v>1</v>
      </c>
      <c r="AP65" s="22">
        <f t="shared" si="105"/>
        <v>1</v>
      </c>
      <c r="AQ65" s="22">
        <f t="shared" si="105"/>
        <v>1</v>
      </c>
      <c r="AR65" s="22">
        <f t="shared" si="105"/>
        <v>1</v>
      </c>
      <c r="AS65" s="22">
        <f t="shared" si="105"/>
        <v>1</v>
      </c>
      <c r="AT65" s="22">
        <f t="shared" si="105"/>
        <v>1</v>
      </c>
      <c r="AU65" s="22">
        <f t="shared" si="105"/>
        <v>1</v>
      </c>
      <c r="AV65" s="22">
        <f t="shared" si="105"/>
        <v>1</v>
      </c>
      <c r="AW65" s="22">
        <f t="shared" si="105"/>
        <v>1</v>
      </c>
      <c r="AX65" s="22">
        <f t="shared" si="105"/>
        <v>1</v>
      </c>
      <c r="AY65" s="22">
        <f t="shared" si="105"/>
        <v>1</v>
      </c>
      <c r="AZ65" s="22">
        <f t="shared" si="105"/>
        <v>1</v>
      </c>
      <c r="BA65" s="22">
        <f t="shared" si="105"/>
        <v>1</v>
      </c>
      <c r="BB65" s="22">
        <f t="shared" si="105"/>
        <v>1</v>
      </c>
      <c r="BC65" s="22">
        <f t="shared" si="105"/>
        <v>1</v>
      </c>
      <c r="BD65" s="22">
        <f t="shared" si="105"/>
        <v>1</v>
      </c>
      <c r="BE65" s="22">
        <f t="shared" si="105"/>
        <v>1</v>
      </c>
      <c r="BF65" s="22">
        <f t="shared" si="105"/>
        <v>1</v>
      </c>
      <c r="BG65" s="22">
        <f t="shared" si="105"/>
        <v>1</v>
      </c>
      <c r="BH65" s="22">
        <f t="shared" si="105"/>
        <v>1</v>
      </c>
      <c r="BI65" s="22">
        <f t="shared" si="105"/>
        <v>1</v>
      </c>
      <c r="BJ65" s="22">
        <f t="shared" si="105"/>
        <v>1</v>
      </c>
      <c r="BK65" s="22">
        <f t="shared" si="105"/>
        <v>1</v>
      </c>
    </row>
    <row r="66" spans="1:63">
      <c r="A66" s="11" t="s">
        <v>229</v>
      </c>
      <c r="B66" s="31">
        <f>Inputs!R96</f>
        <v>36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</row>
    <row r="67" spans="1:63">
      <c r="A67" s="11"/>
      <c r="B67" s="31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</row>
    <row r="68" spans="1:63">
      <c r="A68" s="11" t="s">
        <v>230</v>
      </c>
      <c r="C68" s="7">
        <f>IF(C$8&lt;=$B$66,C65*INDEX(Inputs!$V$11:$AE$11,MATCH('Cash Flow - Traditional'!C10,Inputs!$V$6:$AE$6,0))/12,0)</f>
        <v>0</v>
      </c>
      <c r="D68" s="7">
        <f>IF(D$8&lt;=$B$66,D65*INDEX(Inputs!$V$11:$AE$11,MATCH('Cash Flow - Traditional'!D10,Inputs!$V$6:$AE$6,0))/12,0)</f>
        <v>0</v>
      </c>
      <c r="E68" s="7">
        <f>IF(E$8&lt;=$B$66,E65*INDEX(Inputs!$V$11:$AE$11,MATCH('Cash Flow - Traditional'!E10,Inputs!$V$6:$AE$6,0))/12,0)</f>
        <v>0</v>
      </c>
      <c r="F68" s="7">
        <f>IF(F$8&lt;=$B$66,F65*INDEX(Inputs!$V$11:$AE$11,MATCH('Cash Flow - Traditional'!F10,Inputs!$V$6:$AE$6,0))/12,0)</f>
        <v>0</v>
      </c>
      <c r="G68" s="7">
        <f>IF(G$8&lt;=$B$66,G65*INDEX(Inputs!$V$11:$AE$11,MATCH('Cash Flow - Traditional'!G10,Inputs!$V$6:$AE$6,0))/12,0)</f>
        <v>0</v>
      </c>
      <c r="H68" s="7">
        <f>IF(H$8&lt;=$B$66,H65*INDEX(Inputs!$V$11:$AE$11,MATCH('Cash Flow - Traditional'!H10,Inputs!$V$6:$AE$6,0))/12,0)</f>
        <v>0</v>
      </c>
      <c r="I68" s="7">
        <f>IF(I$8&lt;=$B$66,I65*INDEX(Inputs!$V$11:$AE$11,MATCH('Cash Flow - Traditional'!I10,Inputs!$V$6:$AE$6,0))/12,0)</f>
        <v>0</v>
      </c>
      <c r="J68" s="7">
        <f>IF(J$8&lt;=$B$66,J65*INDEX(Inputs!$V$11:$AE$11,MATCH('Cash Flow - Traditional'!J10,Inputs!$V$6:$AE$6,0))/12,0)</f>
        <v>0</v>
      </c>
      <c r="K68" s="7">
        <f>IF(K$8&lt;=$B$66,K65*INDEX(Inputs!$V$11:$AE$11,MATCH('Cash Flow - Traditional'!K10,Inputs!$V$6:$AE$6,0))/12,0)</f>
        <v>0</v>
      </c>
      <c r="L68" s="7">
        <f>IF(L$8&lt;=$B$66,L65*INDEX(Inputs!$V$11:$AE$11,MATCH('Cash Flow - Traditional'!L10,Inputs!$V$6:$AE$6,0))/12,0)</f>
        <v>0</v>
      </c>
      <c r="M68" s="7">
        <f>IF(M$8&lt;=$B$66,M65*INDEX(Inputs!$V$11:$AE$11,MATCH('Cash Flow - Traditional'!M10,Inputs!$V$6:$AE$6,0))/12,0)</f>
        <v>0</v>
      </c>
      <c r="N68" s="7">
        <f>IF(N$8&lt;=$B$66,N65*INDEX(Inputs!$V$11:$AE$11,MATCH('Cash Flow - Traditional'!N10,Inputs!$V$6:$AE$6,0))/12,0)</f>
        <v>0</v>
      </c>
      <c r="O68" s="7">
        <f>IF(O$8&lt;=$B$66,O65*INDEX(Inputs!$V$11:$AE$11,MATCH('Cash Flow - Traditional'!O10,Inputs!$V$6:$AE$6,0))/12,0)</f>
        <v>0</v>
      </c>
      <c r="P68" s="7">
        <f>IF(P$8&lt;=$B$66,P65*INDEX(Inputs!$V$11:$AE$11,MATCH('Cash Flow - Traditional'!P10,Inputs!$V$6:$AE$6,0))/12,0)</f>
        <v>0</v>
      </c>
      <c r="Q68" s="7">
        <f>IF(Q$8&lt;=$B$66,Q65*INDEX(Inputs!$V$11:$AE$11,MATCH('Cash Flow - Traditional'!Q10,Inputs!$V$6:$AE$6,0))/12,0)</f>
        <v>0</v>
      </c>
      <c r="R68" s="7">
        <f>IF(R$8&lt;=$B$66,R65*INDEX(Inputs!$V$11:$AE$11,MATCH('Cash Flow - Traditional'!R10,Inputs!$V$6:$AE$6,0))/12,0)</f>
        <v>0</v>
      </c>
      <c r="S68" s="7">
        <f>IF(S$8&lt;=$B$66,S65*INDEX(Inputs!$V$11:$AE$11,MATCH('Cash Flow - Traditional'!S10,Inputs!$V$6:$AE$6,0))/12,0)</f>
        <v>0</v>
      </c>
      <c r="T68" s="7">
        <f>IF(T$8&lt;=$B$66,T65*INDEX(Inputs!$V$11:$AE$11,MATCH('Cash Flow - Traditional'!T10,Inputs!$V$6:$AE$6,0))/12,0)</f>
        <v>0</v>
      </c>
      <c r="U68" s="7">
        <f>IF(U$8&lt;=$B$66,U65*INDEX(Inputs!$V$11:$AE$11,MATCH('Cash Flow - Traditional'!U10,Inputs!$V$6:$AE$6,0))/12,0)</f>
        <v>0</v>
      </c>
      <c r="V68" s="7">
        <f>IF(V$8&lt;=$B$66,V65*INDEX(Inputs!$V$11:$AE$11,MATCH('Cash Flow - Traditional'!V10,Inputs!$V$6:$AE$6,0))/12,0)</f>
        <v>0</v>
      </c>
      <c r="W68" s="7">
        <f>IF(W$8&lt;=$B$66,W65*INDEX(Inputs!$V$11:$AE$11,MATCH('Cash Flow - Traditional'!W10,Inputs!$V$6:$AE$6,0))/12,0)</f>
        <v>0</v>
      </c>
      <c r="X68" s="7">
        <f>IF(X$8&lt;=$B$66,X65*INDEX(Inputs!$V$11:$AE$11,MATCH('Cash Flow - Traditional'!X10,Inputs!$V$6:$AE$6,0))/12,0)</f>
        <v>0</v>
      </c>
      <c r="Y68" s="7">
        <f>IF(Y$8&lt;=$B$66,Y65*INDEX(Inputs!$V$11:$AE$11,MATCH('Cash Flow - Traditional'!Y10,Inputs!$V$6:$AE$6,0))/12,0)</f>
        <v>0</v>
      </c>
      <c r="Z68" s="7">
        <f>IF(Z$8&lt;=$B$66,Z65*INDEX(Inputs!$V$11:$AE$11,MATCH('Cash Flow - Traditional'!Z10,Inputs!$V$6:$AE$6,0))/12,0)</f>
        <v>0</v>
      </c>
      <c r="AA68" s="7">
        <f>IF(AA$8&lt;=$B$66,AA65*INDEX(Inputs!$V$11:$AE$11,MATCH('Cash Flow - Traditional'!AA10,Inputs!$V$6:$AE$6,0))/12,0)</f>
        <v>0</v>
      </c>
      <c r="AB68" s="7">
        <f>IF(AB$8&lt;=$B$66,AB65*INDEX(Inputs!$V$11:$AE$11,MATCH('Cash Flow - Traditional'!AB10,Inputs!$V$6:$AE$6,0))/12,0)</f>
        <v>53683.400421874983</v>
      </c>
      <c r="AC68" s="7">
        <f>IF(AC$8&lt;=$B$66,AC65*INDEX(Inputs!$V$11:$AE$11,MATCH('Cash Flow - Traditional'!AC10,Inputs!$V$6:$AE$6,0))/12,0)</f>
        <v>107366.80084374997</v>
      </c>
      <c r="AD68" s="7">
        <f>IF(AD$8&lt;=$B$66,AD65*INDEX(Inputs!$V$11:$AE$11,MATCH('Cash Flow - Traditional'!AD10,Inputs!$V$6:$AE$6,0))/12,0)</f>
        <v>161050.20126562496</v>
      </c>
      <c r="AE68" s="7">
        <f>IF(AE$8&lt;=$B$66,AE65*INDEX(Inputs!$V$11:$AE$11,MATCH('Cash Flow - Traditional'!AE10,Inputs!$V$6:$AE$6,0))/12,0)</f>
        <v>214733.60168749993</v>
      </c>
      <c r="AF68" s="7">
        <f>IF(AF$8&lt;=$B$66,AF65*INDEX(Inputs!$V$11:$AE$11,MATCH('Cash Flow - Traditional'!AF10,Inputs!$V$6:$AE$6,0))/12,0)</f>
        <v>268417.00210937491</v>
      </c>
      <c r="AG68" s="7">
        <f>IF(AG$8&lt;=$B$66,AG65*INDEX(Inputs!$V$11:$AE$11,MATCH('Cash Flow - Traditional'!AG10,Inputs!$V$6:$AE$6,0))/12,0)</f>
        <v>322100.40253124986</v>
      </c>
      <c r="AH68" s="7">
        <f>IF(AH$8&lt;=$B$66,AH65*INDEX(Inputs!$V$11:$AE$11,MATCH('Cash Flow - Traditional'!AH10,Inputs!$V$6:$AE$6,0))/12,0)</f>
        <v>375783.8029531248</v>
      </c>
      <c r="AI68" s="7">
        <f>IF(AI$8&lt;=$B$66,AI65*INDEX(Inputs!$V$11:$AE$11,MATCH('Cash Flow - Traditional'!AI10,Inputs!$V$6:$AE$6,0))/12,0)</f>
        <v>429467.20337499987</v>
      </c>
      <c r="AJ68" s="7">
        <f>IF(AJ$8&lt;=$B$66,AJ65*INDEX(Inputs!$V$11:$AE$11,MATCH('Cash Flow - Traditional'!AJ10,Inputs!$V$6:$AE$6,0))/12,0)</f>
        <v>483150.60379687487</v>
      </c>
      <c r="AK68" s="7">
        <f>IF(AK$8&lt;=$B$66,AK65*INDEX(Inputs!$V$11:$AE$11,MATCH('Cash Flow - Traditional'!AK10,Inputs!$V$6:$AE$6,0))/12,0)</f>
        <v>536834.00421874982</v>
      </c>
      <c r="AL68" s="7">
        <f>IF(AL$8&lt;=$B$66,AL65*INDEX(Inputs!$V$11:$AE$11,MATCH('Cash Flow - Traditional'!AL10,Inputs!$V$6:$AE$6,0))/12,0)</f>
        <v>590517.40464062488</v>
      </c>
      <c r="AM68" s="7">
        <f>IF(AM$8&lt;=$B$66,AM65*INDEX(Inputs!$V$11:$AE$11,MATCH('Cash Flow - Traditional'!AM10,Inputs!$V$6:$AE$6,0))/12,0)</f>
        <v>644200.80506249983</v>
      </c>
      <c r="AN68" s="7">
        <f>IF(AN$8&lt;=$B$66,AN65*INDEX(Inputs!$V$11:$AE$11,MATCH('Cash Flow - Traditional'!AN10,Inputs!$V$6:$AE$6,0))/12,0)</f>
        <v>0</v>
      </c>
      <c r="AO68" s="7">
        <f>IF(AO$8&lt;=$B$66,AO65*INDEX(Inputs!$V$11:$AE$11,MATCH('Cash Flow - Traditional'!AO10,Inputs!$V$6:$AE$6,0))/12,0)</f>
        <v>0</v>
      </c>
      <c r="AP68" s="7">
        <f>IF(AP$8&lt;=$B$66,AP65*INDEX(Inputs!$V$11:$AE$11,MATCH('Cash Flow - Traditional'!AP10,Inputs!$V$6:$AE$6,0))/12,0)</f>
        <v>0</v>
      </c>
      <c r="AQ68" s="7">
        <f>IF(AQ$8&lt;=$B$66,AQ65*INDEX(Inputs!$V$11:$AE$11,MATCH('Cash Flow - Traditional'!AQ10,Inputs!$V$6:$AE$6,0))/12,0)</f>
        <v>0</v>
      </c>
      <c r="AR68" s="7">
        <f>IF(AR$8&lt;=$B$66,AR65*INDEX(Inputs!$V$11:$AE$11,MATCH('Cash Flow - Traditional'!AR10,Inputs!$V$6:$AE$6,0))/12,0)</f>
        <v>0</v>
      </c>
      <c r="AS68" s="7">
        <f>IF(AS$8&lt;=$B$66,AS65*INDEX(Inputs!$V$11:$AE$11,MATCH('Cash Flow - Traditional'!AS10,Inputs!$V$6:$AE$6,0))/12,0)</f>
        <v>0</v>
      </c>
      <c r="AT68" s="7">
        <f>IF(AT$8&lt;=$B$66,AT65*INDEX(Inputs!$V$11:$AE$11,MATCH('Cash Flow - Traditional'!AT10,Inputs!$V$6:$AE$6,0))/12,0)</f>
        <v>0</v>
      </c>
      <c r="AU68" s="7">
        <f>IF(AU$8&lt;=$B$66,AU65*INDEX(Inputs!$V$11:$AE$11,MATCH('Cash Flow - Traditional'!AU10,Inputs!$V$6:$AE$6,0))/12,0)</f>
        <v>0</v>
      </c>
      <c r="AV68" s="7">
        <f>IF(AV$8&lt;=$B$66,AV65*INDEX(Inputs!$V$11:$AE$11,MATCH('Cash Flow - Traditional'!AV10,Inputs!$V$6:$AE$6,0))/12,0)</f>
        <v>0</v>
      </c>
      <c r="AW68" s="7">
        <f>IF(AW$8&lt;=$B$66,AW65*INDEX(Inputs!$V$11:$AE$11,MATCH('Cash Flow - Traditional'!AW10,Inputs!$V$6:$AE$6,0))/12,0)</f>
        <v>0</v>
      </c>
      <c r="AX68" s="7">
        <f>IF(AX$8&lt;=$B$66,AX65*INDEX(Inputs!$V$11:$AE$11,MATCH('Cash Flow - Traditional'!AX10,Inputs!$V$6:$AE$6,0))/12,0)</f>
        <v>0</v>
      </c>
      <c r="AY68" s="7">
        <f>IF(AY$8&lt;=$B$66,AY65*INDEX(Inputs!$V$11:$AE$11,MATCH('Cash Flow - Traditional'!AY10,Inputs!$V$6:$AE$6,0))/12,0)</f>
        <v>0</v>
      </c>
      <c r="AZ68" s="7">
        <f>IF(AZ$8&lt;=$B$66,AZ65*INDEX(Inputs!$V$11:$AE$11,MATCH('Cash Flow - Traditional'!AZ10,Inputs!$V$6:$AE$6,0))/12,0)</f>
        <v>0</v>
      </c>
      <c r="BA68" s="7">
        <f>IF(BA$8&lt;=$B$66,BA65*INDEX(Inputs!$V$11:$AE$11,MATCH('Cash Flow - Traditional'!BA10,Inputs!$V$6:$AE$6,0))/12,0)</f>
        <v>0</v>
      </c>
      <c r="BB68" s="7">
        <f>IF(BB$8&lt;=$B$66,BB65*INDEX(Inputs!$V$11:$AE$11,MATCH('Cash Flow - Traditional'!BB10,Inputs!$V$6:$AE$6,0))/12,0)</f>
        <v>0</v>
      </c>
      <c r="BC68" s="7">
        <f>IF(BC$8&lt;=$B$66,BC65*INDEX(Inputs!$V$11:$AE$11,MATCH('Cash Flow - Traditional'!BC10,Inputs!$V$6:$AE$6,0))/12,0)</f>
        <v>0</v>
      </c>
      <c r="BD68" s="7">
        <f>IF(BD$8&lt;=$B$66,BD65*INDEX(Inputs!$V$11:$AE$11,MATCH('Cash Flow - Traditional'!BD10,Inputs!$V$6:$AE$6,0))/12,0)</f>
        <v>0</v>
      </c>
      <c r="BE68" s="7">
        <f>IF(BE$8&lt;=$B$66,BE65*INDEX(Inputs!$V$11:$AE$11,MATCH('Cash Flow - Traditional'!BE10,Inputs!$V$6:$AE$6,0))/12,0)</f>
        <v>0</v>
      </c>
      <c r="BF68" s="7">
        <f>IF(BF$8&lt;=$B$66,BF65*INDEX(Inputs!$V$11:$AE$11,MATCH('Cash Flow - Traditional'!BF10,Inputs!$V$6:$AE$6,0))/12,0)</f>
        <v>0</v>
      </c>
      <c r="BG68" s="7">
        <f>IF(BG$8&lt;=$B$66,BG65*INDEX(Inputs!$V$11:$AE$11,MATCH('Cash Flow - Traditional'!BG10,Inputs!$V$6:$AE$6,0))/12,0)</f>
        <v>0</v>
      </c>
      <c r="BH68" s="7">
        <f>IF(BH$8&lt;=$B$66,BH65*INDEX(Inputs!$V$11:$AE$11,MATCH('Cash Flow - Traditional'!BH10,Inputs!$V$6:$AE$6,0))/12,0)</f>
        <v>0</v>
      </c>
      <c r="BI68" s="7">
        <f>IF(BI$8&lt;=$B$66,BI65*INDEX(Inputs!$V$11:$AE$11,MATCH('Cash Flow - Traditional'!BI10,Inputs!$V$6:$AE$6,0))/12,0)</f>
        <v>0</v>
      </c>
      <c r="BJ68" s="7">
        <f>IF(BJ$8&lt;=$B$66,BJ65*INDEX(Inputs!$V$11:$AE$11,MATCH('Cash Flow - Traditional'!BJ10,Inputs!$V$6:$AE$6,0))/12,0)</f>
        <v>0</v>
      </c>
      <c r="BK68" s="7">
        <f>IF(BK$8&lt;=$B$66,BK65*INDEX(Inputs!$V$11:$AE$11,MATCH('Cash Flow - Traditional'!BK10,Inputs!$V$6:$AE$6,0))/12,0)</f>
        <v>0</v>
      </c>
    </row>
    <row r="69" spans="1:63">
      <c r="A69" s="372" t="s">
        <v>231</v>
      </c>
      <c r="C69" s="7">
        <f>IF(C$8&lt;=$B$66,C65*INDEX(Inputs!$V$17:$AE$17,MATCH('Cash Flow - Traditional'!C10,Inputs!$V$6:$AE$6,0))/12,0)</f>
        <v>0</v>
      </c>
      <c r="D69" s="7">
        <f>IF(D$8&lt;=$B$66,D65*INDEX(Inputs!$V$17:$AE$17,MATCH('Cash Flow - Traditional'!D10,Inputs!$V$6:$AE$6,0))/12,0)</f>
        <v>0</v>
      </c>
      <c r="E69" s="7">
        <f>IF(E$8&lt;=$B$66,E65*INDEX(Inputs!$V$17:$AE$17,MATCH('Cash Flow - Traditional'!E10,Inputs!$V$6:$AE$6,0))/12,0)</f>
        <v>0</v>
      </c>
      <c r="F69" s="7">
        <f>IF(F$8&lt;=$B$66,F65*INDEX(Inputs!$V$17:$AE$17,MATCH('Cash Flow - Traditional'!F10,Inputs!$V$6:$AE$6,0))/12,0)</f>
        <v>0</v>
      </c>
      <c r="G69" s="7">
        <f>IF(G$8&lt;=$B$66,G65*INDEX(Inputs!$V$17:$AE$17,MATCH('Cash Flow - Traditional'!G10,Inputs!$V$6:$AE$6,0))/12,0)</f>
        <v>0</v>
      </c>
      <c r="H69" s="7">
        <f>IF(H$8&lt;=$B$66,H65*INDEX(Inputs!$V$17:$AE$17,MATCH('Cash Flow - Traditional'!H10,Inputs!$V$6:$AE$6,0))/12,0)</f>
        <v>0</v>
      </c>
      <c r="I69" s="7">
        <f>IF(I$8&lt;=$B$66,I65*INDEX(Inputs!$V$17:$AE$17,MATCH('Cash Flow - Traditional'!I10,Inputs!$V$6:$AE$6,0))/12,0)</f>
        <v>0</v>
      </c>
      <c r="J69" s="7">
        <f>IF(J$8&lt;=$B$66,J65*INDEX(Inputs!$V$17:$AE$17,MATCH('Cash Flow - Traditional'!J10,Inputs!$V$6:$AE$6,0))/12,0)</f>
        <v>0</v>
      </c>
      <c r="K69" s="7">
        <f>IF(K$8&lt;=$B$66,K65*INDEX(Inputs!$V$17:$AE$17,MATCH('Cash Flow - Traditional'!K10,Inputs!$V$6:$AE$6,0))/12,0)</f>
        <v>0</v>
      </c>
      <c r="L69" s="7">
        <f>IF(L$8&lt;=$B$66,L65*INDEX(Inputs!$V$17:$AE$17,MATCH('Cash Flow - Traditional'!L10,Inputs!$V$6:$AE$6,0))/12,0)</f>
        <v>0</v>
      </c>
      <c r="M69" s="7">
        <f>IF(M$8&lt;=$B$66,M65*INDEX(Inputs!$V$17:$AE$17,MATCH('Cash Flow - Traditional'!M10,Inputs!$V$6:$AE$6,0))/12,0)</f>
        <v>0</v>
      </c>
      <c r="N69" s="7">
        <f>IF(N$8&lt;=$B$66,N65*INDEX(Inputs!$V$17:$AE$17,MATCH('Cash Flow - Traditional'!N10,Inputs!$V$6:$AE$6,0))/12,0)</f>
        <v>0</v>
      </c>
      <c r="O69" s="7">
        <f>IF(O$8&lt;=$B$66,O65*INDEX(Inputs!$V$17:$AE$17,MATCH('Cash Flow - Traditional'!O10,Inputs!$V$6:$AE$6,0))/12,0)</f>
        <v>0</v>
      </c>
      <c r="P69" s="7">
        <f>IF(P$8&lt;=$B$66,P65*INDEX(Inputs!$V$17:$AE$17,MATCH('Cash Flow - Traditional'!P10,Inputs!$V$6:$AE$6,0))/12,0)</f>
        <v>0</v>
      </c>
      <c r="Q69" s="7">
        <f>IF(Q$8&lt;=$B$66,Q65*INDEX(Inputs!$V$17:$AE$17,MATCH('Cash Flow - Traditional'!Q10,Inputs!$V$6:$AE$6,0))/12,0)</f>
        <v>0</v>
      </c>
      <c r="R69" s="7">
        <f>IF(R$8&lt;=$B$66,R65*INDEX(Inputs!$V$17:$AE$17,MATCH('Cash Flow - Traditional'!R10,Inputs!$V$6:$AE$6,0))/12,0)</f>
        <v>0</v>
      </c>
      <c r="S69" s="7">
        <f>IF(S$8&lt;=$B$66,S65*INDEX(Inputs!$V$17:$AE$17,MATCH('Cash Flow - Traditional'!S10,Inputs!$V$6:$AE$6,0))/12,0)</f>
        <v>0</v>
      </c>
      <c r="T69" s="7">
        <f>IF(T$8&lt;=$B$66,T65*INDEX(Inputs!$V$17:$AE$17,MATCH('Cash Flow - Traditional'!T10,Inputs!$V$6:$AE$6,0))/12,0)</f>
        <v>0</v>
      </c>
      <c r="U69" s="7">
        <f>IF(U$8&lt;=$B$66,U65*INDEX(Inputs!$V$17:$AE$17,MATCH('Cash Flow - Traditional'!U10,Inputs!$V$6:$AE$6,0))/12,0)</f>
        <v>0</v>
      </c>
      <c r="V69" s="7">
        <f>IF(V$8&lt;=$B$66,V65*INDEX(Inputs!$V$17:$AE$17,MATCH('Cash Flow - Traditional'!V10,Inputs!$V$6:$AE$6,0))/12,0)</f>
        <v>0</v>
      </c>
      <c r="W69" s="7">
        <f>IF(W$8&lt;=$B$66,W65*INDEX(Inputs!$V$17:$AE$17,MATCH('Cash Flow - Traditional'!W10,Inputs!$V$6:$AE$6,0))/12,0)</f>
        <v>0</v>
      </c>
      <c r="X69" s="7">
        <f>IF(X$8&lt;=$B$66,X65*INDEX(Inputs!$V$17:$AE$17,MATCH('Cash Flow - Traditional'!X10,Inputs!$V$6:$AE$6,0))/12,0)</f>
        <v>0</v>
      </c>
      <c r="Y69" s="7">
        <f>IF(Y$8&lt;=$B$66,Y65*INDEX(Inputs!$V$17:$AE$17,MATCH('Cash Flow - Traditional'!Y10,Inputs!$V$6:$AE$6,0))/12,0)</f>
        <v>0</v>
      </c>
      <c r="Z69" s="7">
        <f>IF(Z$8&lt;=$B$66,Z65*INDEX(Inputs!$V$17:$AE$17,MATCH('Cash Flow - Traditional'!Z10,Inputs!$V$6:$AE$6,0))/12,0)</f>
        <v>0</v>
      </c>
      <c r="AA69" s="7">
        <f>IF(AA$8&lt;=$B$66,AA65*INDEX(Inputs!$V$17:$AE$17,MATCH('Cash Flow - Traditional'!AA10,Inputs!$V$6:$AE$6,0))/12,0)</f>
        <v>0</v>
      </c>
      <c r="AB69" s="7">
        <f>IF(AB$8&lt;=$B$66,AB65*INDEX(Inputs!$V$17:$AE$17,MATCH('Cash Flow - Traditional'!AB10,Inputs!$V$6:$AE$6,0))/12,0)</f>
        <v>-36623.372991796874</v>
      </c>
      <c r="AC69" s="7">
        <f>IF(AC$8&lt;=$B$66,AC65*INDEX(Inputs!$V$17:$AE$17,MATCH('Cash Flow - Traditional'!AC10,Inputs!$V$6:$AE$6,0))/12,0)</f>
        <v>-73246.745983593748</v>
      </c>
      <c r="AD69" s="7">
        <f>IF(AD$8&lt;=$B$66,AD65*INDEX(Inputs!$V$17:$AE$17,MATCH('Cash Flow - Traditional'!AD10,Inputs!$V$6:$AE$6,0))/12,0)</f>
        <v>-109870.11897539062</v>
      </c>
      <c r="AE69" s="7">
        <f>IF(AE$8&lt;=$B$66,AE65*INDEX(Inputs!$V$17:$AE$17,MATCH('Cash Flow - Traditional'!AE10,Inputs!$V$6:$AE$6,0))/12,0)</f>
        <v>-146493.4919671875</v>
      </c>
      <c r="AF69" s="7">
        <f>IF(AF$8&lt;=$B$66,AF65*INDEX(Inputs!$V$17:$AE$17,MATCH('Cash Flow - Traditional'!AF10,Inputs!$V$6:$AE$6,0))/12,0)</f>
        <v>-183116.86495898434</v>
      </c>
      <c r="AG69" s="7">
        <f>IF(AG$8&lt;=$B$66,AG65*INDEX(Inputs!$V$17:$AE$17,MATCH('Cash Flow - Traditional'!AG10,Inputs!$V$6:$AE$6,0))/12,0)</f>
        <v>-219740.23795078121</v>
      </c>
      <c r="AH69" s="7">
        <f>IF(AH$8&lt;=$B$66,AH65*INDEX(Inputs!$V$17:$AE$17,MATCH('Cash Flow - Traditional'!AH10,Inputs!$V$6:$AE$6,0))/12,0)</f>
        <v>-256363.61094257809</v>
      </c>
      <c r="AI69" s="7">
        <f>IF(AI$8&lt;=$B$66,AI65*INDEX(Inputs!$V$17:$AE$17,MATCH('Cash Flow - Traditional'!AI10,Inputs!$V$6:$AE$6,0))/12,0)</f>
        <v>-292986.98393437499</v>
      </c>
      <c r="AJ69" s="7">
        <f>IF(AJ$8&lt;=$B$66,AJ65*INDEX(Inputs!$V$17:$AE$17,MATCH('Cash Flow - Traditional'!AJ10,Inputs!$V$6:$AE$6,0))/12,0)</f>
        <v>-329610.35692617187</v>
      </c>
      <c r="AK69" s="7">
        <f>IF(AK$8&lt;=$B$66,AK65*INDEX(Inputs!$V$17:$AE$17,MATCH('Cash Flow - Traditional'!AK10,Inputs!$V$6:$AE$6,0))/12,0)</f>
        <v>-366233.7299179688</v>
      </c>
      <c r="AL69" s="7">
        <f>IF(AL$8&lt;=$B$66,AL65*INDEX(Inputs!$V$17:$AE$17,MATCH('Cash Flow - Traditional'!AL10,Inputs!$V$6:$AE$6,0))/12,0)</f>
        <v>-402857.10290976567</v>
      </c>
      <c r="AM69" s="7">
        <f>IF(AM$8&lt;=$B$66,AM65*INDEX(Inputs!$V$17:$AE$17,MATCH('Cash Flow - Traditional'!AM10,Inputs!$V$6:$AE$6,0))/12,0)</f>
        <v>-439480.47590156249</v>
      </c>
      <c r="AN69" s="7">
        <f>IF(AN$8&lt;=$B$66,AN65*INDEX(Inputs!$V$17:$AE$17,MATCH('Cash Flow - Traditional'!AN10,Inputs!$V$6:$AE$6,0))/12,0)</f>
        <v>0</v>
      </c>
      <c r="AO69" s="7">
        <f>IF(AO$8&lt;=$B$66,AO65*INDEX(Inputs!$V$17:$AE$17,MATCH('Cash Flow - Traditional'!AO10,Inputs!$V$6:$AE$6,0))/12,0)</f>
        <v>0</v>
      </c>
      <c r="AP69" s="7">
        <f>IF(AP$8&lt;=$B$66,AP65*INDEX(Inputs!$V$17:$AE$17,MATCH('Cash Flow - Traditional'!AP10,Inputs!$V$6:$AE$6,0))/12,0)</f>
        <v>0</v>
      </c>
      <c r="AQ69" s="7">
        <f>IF(AQ$8&lt;=$B$66,AQ65*INDEX(Inputs!$V$17:$AE$17,MATCH('Cash Flow - Traditional'!AQ10,Inputs!$V$6:$AE$6,0))/12,0)</f>
        <v>0</v>
      </c>
      <c r="AR69" s="7">
        <f>IF(AR$8&lt;=$B$66,AR65*INDEX(Inputs!$V$17:$AE$17,MATCH('Cash Flow - Traditional'!AR10,Inputs!$V$6:$AE$6,0))/12,0)</f>
        <v>0</v>
      </c>
      <c r="AS69" s="7">
        <f>IF(AS$8&lt;=$B$66,AS65*INDEX(Inputs!$V$17:$AE$17,MATCH('Cash Flow - Traditional'!AS10,Inputs!$V$6:$AE$6,0))/12,0)</f>
        <v>0</v>
      </c>
      <c r="AT69" s="7">
        <f>IF(AT$8&lt;=$B$66,AT65*INDEX(Inputs!$V$17:$AE$17,MATCH('Cash Flow - Traditional'!AT10,Inputs!$V$6:$AE$6,0))/12,0)</f>
        <v>0</v>
      </c>
      <c r="AU69" s="7">
        <f>IF(AU$8&lt;=$B$66,AU65*INDEX(Inputs!$V$17:$AE$17,MATCH('Cash Flow - Traditional'!AU10,Inputs!$V$6:$AE$6,0))/12,0)</f>
        <v>0</v>
      </c>
      <c r="AV69" s="7">
        <f>IF(AV$8&lt;=$B$66,AV65*INDEX(Inputs!$V$17:$AE$17,MATCH('Cash Flow - Traditional'!AV10,Inputs!$V$6:$AE$6,0))/12,0)</f>
        <v>0</v>
      </c>
      <c r="AW69" s="7">
        <f>IF(AW$8&lt;=$B$66,AW65*INDEX(Inputs!$V$17:$AE$17,MATCH('Cash Flow - Traditional'!AW10,Inputs!$V$6:$AE$6,0))/12,0)</f>
        <v>0</v>
      </c>
      <c r="AX69" s="7">
        <f>IF(AX$8&lt;=$B$66,AX65*INDEX(Inputs!$V$17:$AE$17,MATCH('Cash Flow - Traditional'!AX10,Inputs!$V$6:$AE$6,0))/12,0)</f>
        <v>0</v>
      </c>
      <c r="AY69" s="7">
        <f>IF(AY$8&lt;=$B$66,AY65*INDEX(Inputs!$V$17:$AE$17,MATCH('Cash Flow - Traditional'!AY10,Inputs!$V$6:$AE$6,0))/12,0)</f>
        <v>0</v>
      </c>
      <c r="AZ69" s="7">
        <f>IF(AZ$8&lt;=$B$66,AZ65*INDEX(Inputs!$V$17:$AE$17,MATCH('Cash Flow - Traditional'!AZ10,Inputs!$V$6:$AE$6,0))/12,0)</f>
        <v>0</v>
      </c>
      <c r="BA69" s="7">
        <f>IF(BA$8&lt;=$B$66,BA65*INDEX(Inputs!$V$17:$AE$17,MATCH('Cash Flow - Traditional'!BA10,Inputs!$V$6:$AE$6,0))/12,0)</f>
        <v>0</v>
      </c>
      <c r="BB69" s="7">
        <f>IF(BB$8&lt;=$B$66,BB65*INDEX(Inputs!$V$17:$AE$17,MATCH('Cash Flow - Traditional'!BB10,Inputs!$V$6:$AE$6,0))/12,0)</f>
        <v>0</v>
      </c>
      <c r="BC69" s="7">
        <f>IF(BC$8&lt;=$B$66,BC65*INDEX(Inputs!$V$17:$AE$17,MATCH('Cash Flow - Traditional'!BC10,Inputs!$V$6:$AE$6,0))/12,0)</f>
        <v>0</v>
      </c>
      <c r="BD69" s="7">
        <f>IF(BD$8&lt;=$B$66,BD65*INDEX(Inputs!$V$17:$AE$17,MATCH('Cash Flow - Traditional'!BD10,Inputs!$V$6:$AE$6,0))/12,0)</f>
        <v>0</v>
      </c>
      <c r="BE69" s="7">
        <f>IF(BE$8&lt;=$B$66,BE65*INDEX(Inputs!$V$17:$AE$17,MATCH('Cash Flow - Traditional'!BE10,Inputs!$V$6:$AE$6,0))/12,0)</f>
        <v>0</v>
      </c>
      <c r="BF69" s="7">
        <f>IF(BF$8&lt;=$B$66,BF65*INDEX(Inputs!$V$17:$AE$17,MATCH('Cash Flow - Traditional'!BF10,Inputs!$V$6:$AE$6,0))/12,0)</f>
        <v>0</v>
      </c>
      <c r="BG69" s="7">
        <f>IF(BG$8&lt;=$B$66,BG65*INDEX(Inputs!$V$17:$AE$17,MATCH('Cash Flow - Traditional'!BG10,Inputs!$V$6:$AE$6,0))/12,0)</f>
        <v>0</v>
      </c>
      <c r="BH69" s="7">
        <f>IF(BH$8&lt;=$B$66,BH65*INDEX(Inputs!$V$17:$AE$17,MATCH('Cash Flow - Traditional'!BH10,Inputs!$V$6:$AE$6,0))/12,0)</f>
        <v>0</v>
      </c>
      <c r="BI69" s="7">
        <f>IF(BI$8&lt;=$B$66,BI65*INDEX(Inputs!$V$17:$AE$17,MATCH('Cash Flow - Traditional'!BI10,Inputs!$V$6:$AE$6,0))/12,0)</f>
        <v>0</v>
      </c>
      <c r="BJ69" s="7">
        <f>IF(BJ$8&lt;=$B$66,BJ65*INDEX(Inputs!$V$17:$AE$17,MATCH('Cash Flow - Traditional'!BJ10,Inputs!$V$6:$AE$6,0))/12,0)</f>
        <v>0</v>
      </c>
      <c r="BK69" s="7">
        <f>IF(BK$8&lt;=$B$66,BK65*INDEX(Inputs!$V$17:$AE$17,MATCH('Cash Flow - Traditional'!BK10,Inputs!$V$6:$AE$6,0))/12,0)</f>
        <v>0</v>
      </c>
    </row>
    <row r="70" spans="1:63">
      <c r="A70" s="11"/>
      <c r="B70" s="3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1:63" ht="16" thickBot="1">
      <c r="A71" s="32" t="s">
        <v>226</v>
      </c>
      <c r="B71" s="33"/>
      <c r="C71" s="34">
        <f>SUM(C68:C69)</f>
        <v>0</v>
      </c>
      <c r="D71" s="34">
        <f t="shared" ref="D71:BK71" si="106">SUM(D68:D69)</f>
        <v>0</v>
      </c>
      <c r="E71" s="34">
        <f t="shared" si="106"/>
        <v>0</v>
      </c>
      <c r="F71" s="34">
        <f t="shared" si="106"/>
        <v>0</v>
      </c>
      <c r="G71" s="34">
        <f t="shared" si="106"/>
        <v>0</v>
      </c>
      <c r="H71" s="34">
        <f t="shared" si="106"/>
        <v>0</v>
      </c>
      <c r="I71" s="34">
        <f t="shared" si="106"/>
        <v>0</v>
      </c>
      <c r="J71" s="34">
        <f t="shared" si="106"/>
        <v>0</v>
      </c>
      <c r="K71" s="34">
        <f t="shared" si="106"/>
        <v>0</v>
      </c>
      <c r="L71" s="34">
        <f t="shared" si="106"/>
        <v>0</v>
      </c>
      <c r="M71" s="34">
        <f t="shared" si="106"/>
        <v>0</v>
      </c>
      <c r="N71" s="34">
        <f t="shared" si="106"/>
        <v>0</v>
      </c>
      <c r="O71" s="34">
        <f t="shared" si="106"/>
        <v>0</v>
      </c>
      <c r="P71" s="34">
        <f t="shared" si="106"/>
        <v>0</v>
      </c>
      <c r="Q71" s="34">
        <f t="shared" si="106"/>
        <v>0</v>
      </c>
      <c r="R71" s="34">
        <f t="shared" si="106"/>
        <v>0</v>
      </c>
      <c r="S71" s="34">
        <f t="shared" si="106"/>
        <v>0</v>
      </c>
      <c r="T71" s="34">
        <f t="shared" si="106"/>
        <v>0</v>
      </c>
      <c r="U71" s="34">
        <f t="shared" si="106"/>
        <v>0</v>
      </c>
      <c r="V71" s="34">
        <f t="shared" si="106"/>
        <v>0</v>
      </c>
      <c r="W71" s="34">
        <f t="shared" si="106"/>
        <v>0</v>
      </c>
      <c r="X71" s="34">
        <f t="shared" si="106"/>
        <v>0</v>
      </c>
      <c r="Y71" s="34">
        <f t="shared" si="106"/>
        <v>0</v>
      </c>
      <c r="Z71" s="34">
        <f t="shared" si="106"/>
        <v>0</v>
      </c>
      <c r="AA71" s="34">
        <f t="shared" si="106"/>
        <v>0</v>
      </c>
      <c r="AB71" s="34">
        <f t="shared" si="106"/>
        <v>17060.027430078109</v>
      </c>
      <c r="AC71" s="34">
        <f t="shared" si="106"/>
        <v>34120.054860156219</v>
      </c>
      <c r="AD71" s="34">
        <f t="shared" si="106"/>
        <v>51180.082290234335</v>
      </c>
      <c r="AE71" s="34">
        <f t="shared" si="106"/>
        <v>68240.109720312437</v>
      </c>
      <c r="AF71" s="34">
        <f t="shared" si="106"/>
        <v>85300.137150390568</v>
      </c>
      <c r="AG71" s="34">
        <f t="shared" si="106"/>
        <v>102360.16458046864</v>
      </c>
      <c r="AH71" s="34">
        <f t="shared" si="106"/>
        <v>119420.19201054671</v>
      </c>
      <c r="AI71" s="34">
        <f t="shared" si="106"/>
        <v>136480.21944062487</v>
      </c>
      <c r="AJ71" s="34">
        <f t="shared" si="106"/>
        <v>153540.24687070301</v>
      </c>
      <c r="AK71" s="34">
        <f t="shared" si="106"/>
        <v>170600.27430078102</v>
      </c>
      <c r="AL71" s="34">
        <f t="shared" si="106"/>
        <v>187660.30173085921</v>
      </c>
      <c r="AM71" s="34">
        <f t="shared" si="106"/>
        <v>204720.32916093734</v>
      </c>
      <c r="AN71" s="34">
        <f t="shared" si="106"/>
        <v>0</v>
      </c>
      <c r="AO71" s="34">
        <f t="shared" si="106"/>
        <v>0</v>
      </c>
      <c r="AP71" s="34">
        <f t="shared" si="106"/>
        <v>0</v>
      </c>
      <c r="AQ71" s="34">
        <f t="shared" si="106"/>
        <v>0</v>
      </c>
      <c r="AR71" s="34">
        <f t="shared" si="106"/>
        <v>0</v>
      </c>
      <c r="AS71" s="34">
        <f t="shared" si="106"/>
        <v>0</v>
      </c>
      <c r="AT71" s="34">
        <f t="shared" si="106"/>
        <v>0</v>
      </c>
      <c r="AU71" s="34">
        <f t="shared" si="106"/>
        <v>0</v>
      </c>
      <c r="AV71" s="34">
        <f t="shared" si="106"/>
        <v>0</v>
      </c>
      <c r="AW71" s="34">
        <f t="shared" si="106"/>
        <v>0</v>
      </c>
      <c r="AX71" s="34">
        <f t="shared" si="106"/>
        <v>0</v>
      </c>
      <c r="AY71" s="34">
        <f t="shared" si="106"/>
        <v>0</v>
      </c>
      <c r="AZ71" s="34">
        <f t="shared" si="106"/>
        <v>0</v>
      </c>
      <c r="BA71" s="34">
        <f t="shared" si="106"/>
        <v>0</v>
      </c>
      <c r="BB71" s="34">
        <f t="shared" si="106"/>
        <v>0</v>
      </c>
      <c r="BC71" s="34">
        <f t="shared" si="106"/>
        <v>0</v>
      </c>
      <c r="BD71" s="34">
        <f t="shared" si="106"/>
        <v>0</v>
      </c>
      <c r="BE71" s="34">
        <f t="shared" si="106"/>
        <v>0</v>
      </c>
      <c r="BF71" s="34">
        <f t="shared" si="106"/>
        <v>0</v>
      </c>
      <c r="BG71" s="34">
        <f t="shared" si="106"/>
        <v>0</v>
      </c>
      <c r="BH71" s="34">
        <f t="shared" si="106"/>
        <v>0</v>
      </c>
      <c r="BI71" s="34">
        <f t="shared" si="106"/>
        <v>0</v>
      </c>
      <c r="BJ71" s="34">
        <f t="shared" si="106"/>
        <v>0</v>
      </c>
      <c r="BK71" s="34">
        <f t="shared" si="106"/>
        <v>0</v>
      </c>
    </row>
    <row r="72" spans="1:63">
      <c r="A72" t="s">
        <v>232</v>
      </c>
      <c r="B72" s="35"/>
      <c r="C72" s="21">
        <f t="shared" ref="C72:BK72" si="107">IF(C65&gt;0,C71+C49,0)</f>
        <v>0</v>
      </c>
      <c r="D72" s="21">
        <f t="shared" si="107"/>
        <v>0</v>
      </c>
      <c r="E72" s="21">
        <f t="shared" si="107"/>
        <v>0</v>
      </c>
      <c r="F72" s="21">
        <f t="shared" si="107"/>
        <v>0</v>
      </c>
      <c r="G72" s="21">
        <f t="shared" si="107"/>
        <v>0</v>
      </c>
      <c r="H72" s="21">
        <f t="shared" si="107"/>
        <v>0</v>
      </c>
      <c r="I72" s="21">
        <f t="shared" si="107"/>
        <v>0</v>
      </c>
      <c r="J72" s="21">
        <f t="shared" si="107"/>
        <v>0</v>
      </c>
      <c r="K72" s="21">
        <f t="shared" si="107"/>
        <v>0</v>
      </c>
      <c r="L72" s="21">
        <f t="shared" si="107"/>
        <v>0</v>
      </c>
      <c r="M72" s="21">
        <f t="shared" si="107"/>
        <v>0</v>
      </c>
      <c r="N72" s="21">
        <f t="shared" si="107"/>
        <v>0</v>
      </c>
      <c r="O72" s="21">
        <f t="shared" si="107"/>
        <v>0</v>
      </c>
      <c r="P72" s="21">
        <f t="shared" si="107"/>
        <v>0</v>
      </c>
      <c r="Q72" s="21">
        <f t="shared" si="107"/>
        <v>0</v>
      </c>
      <c r="R72" s="21">
        <f t="shared" si="107"/>
        <v>0</v>
      </c>
      <c r="S72" s="21">
        <f t="shared" si="107"/>
        <v>0</v>
      </c>
      <c r="T72" s="21">
        <f t="shared" si="107"/>
        <v>0</v>
      </c>
      <c r="U72" s="21">
        <f t="shared" si="107"/>
        <v>0</v>
      </c>
      <c r="V72" s="21">
        <f t="shared" si="107"/>
        <v>0</v>
      </c>
      <c r="W72" s="21">
        <f t="shared" si="107"/>
        <v>0</v>
      </c>
      <c r="X72" s="21">
        <f t="shared" si="107"/>
        <v>0</v>
      </c>
      <c r="Y72" s="21">
        <f t="shared" si="107"/>
        <v>0</v>
      </c>
      <c r="Z72" s="21">
        <f t="shared" si="107"/>
        <v>0</v>
      </c>
      <c r="AA72" s="21">
        <f t="shared" si="107"/>
        <v>0</v>
      </c>
      <c r="AB72" s="21">
        <f t="shared" ca="1" si="107"/>
        <v>-119778.24068414269</v>
      </c>
      <c r="AC72" s="21">
        <f t="shared" ca="1" si="107"/>
        <v>-103407.59730202933</v>
      </c>
      <c r="AD72" s="21">
        <f t="shared" ca="1" si="107"/>
        <v>-86927.083829628711</v>
      </c>
      <c r="AE72" s="21">
        <f t="shared" ca="1" si="107"/>
        <v>-70335.962883790839</v>
      </c>
      <c r="AF72" s="21">
        <f t="shared" ca="1" si="107"/>
        <v>-53633.492132485291</v>
      </c>
      <c r="AG72" s="21">
        <f t="shared" ca="1" si="107"/>
        <v>-36818.924261587585</v>
      </c>
      <c r="AH72" s="21">
        <f t="shared" ca="1" si="107"/>
        <v>-19891.506941441796</v>
      </c>
      <c r="AI72" s="21">
        <f t="shared" ca="1" si="107"/>
        <v>-2850.3294195287745</v>
      </c>
      <c r="AJ72" s="21">
        <f t="shared" ca="1" si="107"/>
        <v>14209.698010549357</v>
      </c>
      <c r="AK72" s="21">
        <f t="shared" ca="1" si="107"/>
        <v>31269.725440627371</v>
      </c>
      <c r="AL72" s="21">
        <f t="shared" ca="1" si="107"/>
        <v>48329.752870705561</v>
      </c>
      <c r="AM72" s="21">
        <f t="shared" si="107"/>
        <v>204720.32916093734</v>
      </c>
      <c r="AN72" s="21">
        <f t="shared" si="107"/>
        <v>0</v>
      </c>
      <c r="AO72" s="21">
        <f t="shared" si="107"/>
        <v>0</v>
      </c>
      <c r="AP72" s="21">
        <f t="shared" si="107"/>
        <v>0</v>
      </c>
      <c r="AQ72" s="21">
        <f t="shared" si="107"/>
        <v>0</v>
      </c>
      <c r="AR72" s="21">
        <f t="shared" si="107"/>
        <v>0</v>
      </c>
      <c r="AS72" s="21">
        <f t="shared" si="107"/>
        <v>0</v>
      </c>
      <c r="AT72" s="21">
        <f t="shared" si="107"/>
        <v>0</v>
      </c>
      <c r="AU72" s="21">
        <f t="shared" si="107"/>
        <v>0</v>
      </c>
      <c r="AV72" s="21">
        <f t="shared" si="107"/>
        <v>0</v>
      </c>
      <c r="AW72" s="21">
        <f t="shared" si="107"/>
        <v>0</v>
      </c>
      <c r="AX72" s="21">
        <f t="shared" si="107"/>
        <v>0</v>
      </c>
      <c r="AY72" s="21">
        <f t="shared" si="107"/>
        <v>0</v>
      </c>
      <c r="AZ72" s="21">
        <f t="shared" si="107"/>
        <v>0</v>
      </c>
      <c r="BA72" s="21">
        <f t="shared" si="107"/>
        <v>0</v>
      </c>
      <c r="BB72" s="21">
        <f t="shared" si="107"/>
        <v>0</v>
      </c>
      <c r="BC72" s="21">
        <f t="shared" si="107"/>
        <v>0</v>
      </c>
      <c r="BD72" s="21">
        <f t="shared" si="107"/>
        <v>0</v>
      </c>
      <c r="BE72" s="21">
        <f t="shared" si="107"/>
        <v>0</v>
      </c>
      <c r="BF72" s="21">
        <f t="shared" si="107"/>
        <v>0</v>
      </c>
      <c r="BG72" s="21">
        <f t="shared" si="107"/>
        <v>0</v>
      </c>
      <c r="BH72" s="21">
        <f t="shared" si="107"/>
        <v>0</v>
      </c>
      <c r="BI72" s="21">
        <f t="shared" si="107"/>
        <v>0</v>
      </c>
      <c r="BJ72" s="21">
        <f t="shared" si="107"/>
        <v>0</v>
      </c>
      <c r="BK72" s="21">
        <f t="shared" si="107"/>
        <v>0</v>
      </c>
    </row>
    <row r="73" spans="1:63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>
      <c r="A74" s="373" t="s">
        <v>184</v>
      </c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</row>
    <row r="75" spans="1:63">
      <c r="A75" t="s">
        <v>216</v>
      </c>
      <c r="B75" s="16">
        <f>Inputs!R96</f>
        <v>36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</row>
    <row r="76" spans="1:63">
      <c r="A76" t="s">
        <v>233</v>
      </c>
      <c r="B76" s="36">
        <f>Inputs!E20</f>
        <v>0.06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</row>
    <row r="77" spans="1:63">
      <c r="A77" t="s">
        <v>234</v>
      </c>
      <c r="B77" s="16">
        <f>INDEX(Inputs!V19:AE19,MATCH((INDEX(C10:BK10,MATCH(B75,C8:BK8))+1),Inputs!V6:AE6,0))</f>
        <v>2535220.7587150279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</row>
    <row r="78" spans="1:63">
      <c r="A78" t="s">
        <v>235</v>
      </c>
      <c r="B78" s="16">
        <f>B77/B76</f>
        <v>42253679.311917134</v>
      </c>
      <c r="C78" s="17">
        <f t="shared" ref="C78:BK78" si="108">IF(C8=$B$75,$B$78,0)</f>
        <v>0</v>
      </c>
      <c r="D78" s="17">
        <f t="shared" si="108"/>
        <v>0</v>
      </c>
      <c r="E78" s="17">
        <f t="shared" si="108"/>
        <v>0</v>
      </c>
      <c r="F78" s="17">
        <f t="shared" si="108"/>
        <v>0</v>
      </c>
      <c r="G78" s="17">
        <f t="shared" si="108"/>
        <v>0</v>
      </c>
      <c r="H78" s="17">
        <f t="shared" si="108"/>
        <v>0</v>
      </c>
      <c r="I78" s="17">
        <f t="shared" si="108"/>
        <v>0</v>
      </c>
      <c r="J78" s="17">
        <f t="shared" si="108"/>
        <v>0</v>
      </c>
      <c r="K78" s="17">
        <f t="shared" si="108"/>
        <v>0</v>
      </c>
      <c r="L78" s="17">
        <f t="shared" si="108"/>
        <v>0</v>
      </c>
      <c r="M78" s="17">
        <f t="shared" si="108"/>
        <v>0</v>
      </c>
      <c r="N78" s="17">
        <f t="shared" si="108"/>
        <v>0</v>
      </c>
      <c r="O78" s="17">
        <f t="shared" si="108"/>
        <v>0</v>
      </c>
      <c r="P78" s="17">
        <f t="shared" si="108"/>
        <v>0</v>
      </c>
      <c r="Q78" s="17">
        <f t="shared" si="108"/>
        <v>0</v>
      </c>
      <c r="R78" s="17">
        <f t="shared" si="108"/>
        <v>0</v>
      </c>
      <c r="S78" s="17">
        <f t="shared" si="108"/>
        <v>0</v>
      </c>
      <c r="T78" s="17">
        <f t="shared" si="108"/>
        <v>0</v>
      </c>
      <c r="U78" s="17">
        <f t="shared" si="108"/>
        <v>0</v>
      </c>
      <c r="V78" s="17">
        <f t="shared" si="108"/>
        <v>0</v>
      </c>
      <c r="W78" s="17">
        <f t="shared" si="108"/>
        <v>0</v>
      </c>
      <c r="X78" s="17">
        <f t="shared" si="108"/>
        <v>0</v>
      </c>
      <c r="Y78" s="17">
        <f t="shared" si="108"/>
        <v>0</v>
      </c>
      <c r="Z78" s="17">
        <f t="shared" si="108"/>
        <v>0</v>
      </c>
      <c r="AA78" s="17">
        <f t="shared" si="108"/>
        <v>0</v>
      </c>
      <c r="AB78" s="17">
        <f t="shared" si="108"/>
        <v>0</v>
      </c>
      <c r="AC78" s="17">
        <f t="shared" si="108"/>
        <v>0</v>
      </c>
      <c r="AD78" s="17">
        <f t="shared" si="108"/>
        <v>0</v>
      </c>
      <c r="AE78" s="17">
        <f t="shared" si="108"/>
        <v>0</v>
      </c>
      <c r="AF78" s="17">
        <f t="shared" si="108"/>
        <v>0</v>
      </c>
      <c r="AG78" s="17">
        <f t="shared" si="108"/>
        <v>0</v>
      </c>
      <c r="AH78" s="17">
        <f t="shared" si="108"/>
        <v>0</v>
      </c>
      <c r="AI78" s="17">
        <f t="shared" si="108"/>
        <v>0</v>
      </c>
      <c r="AJ78" s="17">
        <f t="shared" si="108"/>
        <v>0</v>
      </c>
      <c r="AK78" s="17">
        <f t="shared" si="108"/>
        <v>0</v>
      </c>
      <c r="AL78" s="17">
        <f t="shared" si="108"/>
        <v>0</v>
      </c>
      <c r="AM78" s="17">
        <f t="shared" si="108"/>
        <v>42253679.311917134</v>
      </c>
      <c r="AN78" s="17">
        <f t="shared" si="108"/>
        <v>0</v>
      </c>
      <c r="AO78" s="17">
        <f t="shared" si="108"/>
        <v>0</v>
      </c>
      <c r="AP78" s="17">
        <f t="shared" si="108"/>
        <v>0</v>
      </c>
      <c r="AQ78" s="17">
        <f t="shared" si="108"/>
        <v>0</v>
      </c>
      <c r="AR78" s="17">
        <f t="shared" si="108"/>
        <v>0</v>
      </c>
      <c r="AS78" s="17">
        <f t="shared" si="108"/>
        <v>0</v>
      </c>
      <c r="AT78" s="17">
        <f t="shared" si="108"/>
        <v>0</v>
      </c>
      <c r="AU78" s="17">
        <f t="shared" si="108"/>
        <v>0</v>
      </c>
      <c r="AV78" s="17">
        <f t="shared" si="108"/>
        <v>0</v>
      </c>
      <c r="AW78" s="17">
        <f t="shared" si="108"/>
        <v>0</v>
      </c>
      <c r="AX78" s="17">
        <f t="shared" si="108"/>
        <v>0</v>
      </c>
      <c r="AY78" s="17">
        <f t="shared" si="108"/>
        <v>0</v>
      </c>
      <c r="AZ78" s="17">
        <f t="shared" si="108"/>
        <v>0</v>
      </c>
      <c r="BA78" s="17">
        <f t="shared" si="108"/>
        <v>0</v>
      </c>
      <c r="BB78" s="17">
        <f t="shared" si="108"/>
        <v>0</v>
      </c>
      <c r="BC78" s="17">
        <f t="shared" si="108"/>
        <v>0</v>
      </c>
      <c r="BD78" s="17">
        <f t="shared" si="108"/>
        <v>0</v>
      </c>
      <c r="BE78" s="17">
        <f t="shared" si="108"/>
        <v>0</v>
      </c>
      <c r="BF78" s="17">
        <f t="shared" si="108"/>
        <v>0</v>
      </c>
      <c r="BG78" s="17">
        <f t="shared" si="108"/>
        <v>0</v>
      </c>
      <c r="BH78" s="17">
        <f t="shared" si="108"/>
        <v>0</v>
      </c>
      <c r="BI78" s="17">
        <f t="shared" si="108"/>
        <v>0</v>
      </c>
      <c r="BJ78" s="17">
        <f t="shared" si="108"/>
        <v>0</v>
      </c>
      <c r="BK78" s="17">
        <f t="shared" si="108"/>
        <v>0</v>
      </c>
    </row>
    <row r="79" spans="1:63">
      <c r="A79" t="s">
        <v>236</v>
      </c>
      <c r="B79" s="20">
        <f>Inputs!E21</f>
        <v>0.03</v>
      </c>
      <c r="C79" s="17">
        <f>-$B$79*C78</f>
        <v>0</v>
      </c>
      <c r="D79" s="17">
        <f t="shared" ref="D79:BK79" si="109">-$B$79*D78</f>
        <v>0</v>
      </c>
      <c r="E79" s="17">
        <f t="shared" si="109"/>
        <v>0</v>
      </c>
      <c r="F79" s="17">
        <f t="shared" si="109"/>
        <v>0</v>
      </c>
      <c r="G79" s="17">
        <f t="shared" si="109"/>
        <v>0</v>
      </c>
      <c r="H79" s="17">
        <f t="shared" si="109"/>
        <v>0</v>
      </c>
      <c r="I79" s="17">
        <f t="shared" si="109"/>
        <v>0</v>
      </c>
      <c r="J79" s="17">
        <f t="shared" si="109"/>
        <v>0</v>
      </c>
      <c r="K79" s="17">
        <f t="shared" si="109"/>
        <v>0</v>
      </c>
      <c r="L79" s="17">
        <f t="shared" si="109"/>
        <v>0</v>
      </c>
      <c r="M79" s="17">
        <f t="shared" si="109"/>
        <v>0</v>
      </c>
      <c r="N79" s="17">
        <f t="shared" si="109"/>
        <v>0</v>
      </c>
      <c r="O79" s="17">
        <f t="shared" si="109"/>
        <v>0</v>
      </c>
      <c r="P79" s="17">
        <f t="shared" si="109"/>
        <v>0</v>
      </c>
      <c r="Q79" s="17">
        <f t="shared" si="109"/>
        <v>0</v>
      </c>
      <c r="R79" s="17">
        <f t="shared" si="109"/>
        <v>0</v>
      </c>
      <c r="S79" s="17">
        <f t="shared" si="109"/>
        <v>0</v>
      </c>
      <c r="T79" s="17">
        <f t="shared" si="109"/>
        <v>0</v>
      </c>
      <c r="U79" s="17">
        <f t="shared" si="109"/>
        <v>0</v>
      </c>
      <c r="V79" s="17">
        <f t="shared" si="109"/>
        <v>0</v>
      </c>
      <c r="W79" s="17">
        <f t="shared" si="109"/>
        <v>0</v>
      </c>
      <c r="X79" s="17">
        <f t="shared" si="109"/>
        <v>0</v>
      </c>
      <c r="Y79" s="17">
        <f t="shared" si="109"/>
        <v>0</v>
      </c>
      <c r="Z79" s="17">
        <f t="shared" si="109"/>
        <v>0</v>
      </c>
      <c r="AA79" s="17">
        <f t="shared" si="109"/>
        <v>0</v>
      </c>
      <c r="AB79" s="17">
        <f t="shared" si="109"/>
        <v>0</v>
      </c>
      <c r="AC79" s="17">
        <f t="shared" si="109"/>
        <v>0</v>
      </c>
      <c r="AD79" s="17">
        <f t="shared" si="109"/>
        <v>0</v>
      </c>
      <c r="AE79" s="17">
        <f t="shared" si="109"/>
        <v>0</v>
      </c>
      <c r="AF79" s="17">
        <f t="shared" si="109"/>
        <v>0</v>
      </c>
      <c r="AG79" s="17">
        <f t="shared" si="109"/>
        <v>0</v>
      </c>
      <c r="AH79" s="17">
        <f t="shared" si="109"/>
        <v>0</v>
      </c>
      <c r="AI79" s="17">
        <f t="shared" si="109"/>
        <v>0</v>
      </c>
      <c r="AJ79" s="17">
        <f t="shared" si="109"/>
        <v>0</v>
      </c>
      <c r="AK79" s="17">
        <f t="shared" si="109"/>
        <v>0</v>
      </c>
      <c r="AL79" s="17">
        <f t="shared" si="109"/>
        <v>0</v>
      </c>
      <c r="AM79" s="17">
        <f t="shared" si="109"/>
        <v>-1267610.379357514</v>
      </c>
      <c r="AN79" s="17">
        <f t="shared" si="109"/>
        <v>0</v>
      </c>
      <c r="AO79" s="17">
        <f t="shared" si="109"/>
        <v>0</v>
      </c>
      <c r="AP79" s="17">
        <f t="shared" si="109"/>
        <v>0</v>
      </c>
      <c r="AQ79" s="17">
        <f t="shared" si="109"/>
        <v>0</v>
      </c>
      <c r="AR79" s="17">
        <f t="shared" si="109"/>
        <v>0</v>
      </c>
      <c r="AS79" s="17">
        <f t="shared" si="109"/>
        <v>0</v>
      </c>
      <c r="AT79" s="17">
        <f t="shared" si="109"/>
        <v>0</v>
      </c>
      <c r="AU79" s="17">
        <f t="shared" si="109"/>
        <v>0</v>
      </c>
      <c r="AV79" s="17">
        <f t="shared" si="109"/>
        <v>0</v>
      </c>
      <c r="AW79" s="17">
        <f t="shared" si="109"/>
        <v>0</v>
      </c>
      <c r="AX79" s="17">
        <f t="shared" si="109"/>
        <v>0</v>
      </c>
      <c r="AY79" s="17">
        <f t="shared" si="109"/>
        <v>0</v>
      </c>
      <c r="AZ79" s="17">
        <f t="shared" si="109"/>
        <v>0</v>
      </c>
      <c r="BA79" s="17">
        <f t="shared" si="109"/>
        <v>0</v>
      </c>
      <c r="BB79" s="17">
        <f t="shared" si="109"/>
        <v>0</v>
      </c>
      <c r="BC79" s="17">
        <f t="shared" si="109"/>
        <v>0</v>
      </c>
      <c r="BD79" s="17">
        <f t="shared" si="109"/>
        <v>0</v>
      </c>
      <c r="BE79" s="17">
        <f t="shared" si="109"/>
        <v>0</v>
      </c>
      <c r="BF79" s="17">
        <f t="shared" si="109"/>
        <v>0</v>
      </c>
      <c r="BG79" s="17">
        <f t="shared" si="109"/>
        <v>0</v>
      </c>
      <c r="BH79" s="17">
        <f t="shared" si="109"/>
        <v>0</v>
      </c>
      <c r="BI79" s="17">
        <f t="shared" si="109"/>
        <v>0</v>
      </c>
      <c r="BJ79" s="17">
        <f t="shared" si="109"/>
        <v>0</v>
      </c>
      <c r="BK79" s="17">
        <f t="shared" si="109"/>
        <v>0</v>
      </c>
    </row>
    <row r="80" spans="1:63" ht="16" thickBot="1">
      <c r="A80" s="32" t="s">
        <v>237</v>
      </c>
      <c r="B80" s="32"/>
      <c r="C80" s="34">
        <f>SUM(C78:C79)</f>
        <v>0</v>
      </c>
      <c r="D80" s="34">
        <f t="shared" ref="D80:BK80" si="110">SUM(D78:D79)</f>
        <v>0</v>
      </c>
      <c r="E80" s="34">
        <f t="shared" si="110"/>
        <v>0</v>
      </c>
      <c r="F80" s="34">
        <f t="shared" si="110"/>
        <v>0</v>
      </c>
      <c r="G80" s="34">
        <f t="shared" si="110"/>
        <v>0</v>
      </c>
      <c r="H80" s="34">
        <f t="shared" si="110"/>
        <v>0</v>
      </c>
      <c r="I80" s="34">
        <f t="shared" si="110"/>
        <v>0</v>
      </c>
      <c r="J80" s="34">
        <f t="shared" si="110"/>
        <v>0</v>
      </c>
      <c r="K80" s="34">
        <f t="shared" si="110"/>
        <v>0</v>
      </c>
      <c r="L80" s="34">
        <f t="shared" si="110"/>
        <v>0</v>
      </c>
      <c r="M80" s="34">
        <f t="shared" si="110"/>
        <v>0</v>
      </c>
      <c r="N80" s="34">
        <f t="shared" si="110"/>
        <v>0</v>
      </c>
      <c r="O80" s="34">
        <f t="shared" si="110"/>
        <v>0</v>
      </c>
      <c r="P80" s="34">
        <f t="shared" si="110"/>
        <v>0</v>
      </c>
      <c r="Q80" s="34">
        <f t="shared" si="110"/>
        <v>0</v>
      </c>
      <c r="R80" s="34">
        <f t="shared" si="110"/>
        <v>0</v>
      </c>
      <c r="S80" s="34">
        <f t="shared" si="110"/>
        <v>0</v>
      </c>
      <c r="T80" s="34">
        <f t="shared" si="110"/>
        <v>0</v>
      </c>
      <c r="U80" s="34">
        <f t="shared" si="110"/>
        <v>0</v>
      </c>
      <c r="V80" s="34">
        <f t="shared" si="110"/>
        <v>0</v>
      </c>
      <c r="W80" s="34">
        <f t="shared" si="110"/>
        <v>0</v>
      </c>
      <c r="X80" s="34">
        <f t="shared" si="110"/>
        <v>0</v>
      </c>
      <c r="Y80" s="34">
        <f t="shared" si="110"/>
        <v>0</v>
      </c>
      <c r="Z80" s="34">
        <f t="shared" si="110"/>
        <v>0</v>
      </c>
      <c r="AA80" s="34">
        <f t="shared" si="110"/>
        <v>0</v>
      </c>
      <c r="AB80" s="34">
        <f t="shared" si="110"/>
        <v>0</v>
      </c>
      <c r="AC80" s="34">
        <f t="shared" si="110"/>
        <v>0</v>
      </c>
      <c r="AD80" s="34">
        <f t="shared" si="110"/>
        <v>0</v>
      </c>
      <c r="AE80" s="34">
        <f t="shared" si="110"/>
        <v>0</v>
      </c>
      <c r="AF80" s="34">
        <f t="shared" si="110"/>
        <v>0</v>
      </c>
      <c r="AG80" s="34">
        <f t="shared" si="110"/>
        <v>0</v>
      </c>
      <c r="AH80" s="34">
        <f t="shared" si="110"/>
        <v>0</v>
      </c>
      <c r="AI80" s="34">
        <f t="shared" si="110"/>
        <v>0</v>
      </c>
      <c r="AJ80" s="34">
        <f t="shared" si="110"/>
        <v>0</v>
      </c>
      <c r="AK80" s="34">
        <f t="shared" si="110"/>
        <v>0</v>
      </c>
      <c r="AL80" s="34">
        <f t="shared" si="110"/>
        <v>0</v>
      </c>
      <c r="AM80" s="34">
        <f t="shared" si="110"/>
        <v>40986068.932559617</v>
      </c>
      <c r="AN80" s="34">
        <f t="shared" si="110"/>
        <v>0</v>
      </c>
      <c r="AO80" s="34">
        <f t="shared" si="110"/>
        <v>0</v>
      </c>
      <c r="AP80" s="34">
        <f t="shared" si="110"/>
        <v>0</v>
      </c>
      <c r="AQ80" s="34">
        <f t="shared" si="110"/>
        <v>0</v>
      </c>
      <c r="AR80" s="34">
        <f t="shared" si="110"/>
        <v>0</v>
      </c>
      <c r="AS80" s="34">
        <f t="shared" si="110"/>
        <v>0</v>
      </c>
      <c r="AT80" s="34">
        <f t="shared" si="110"/>
        <v>0</v>
      </c>
      <c r="AU80" s="34">
        <f t="shared" si="110"/>
        <v>0</v>
      </c>
      <c r="AV80" s="34">
        <f t="shared" si="110"/>
        <v>0</v>
      </c>
      <c r="AW80" s="34">
        <f t="shared" si="110"/>
        <v>0</v>
      </c>
      <c r="AX80" s="34">
        <f t="shared" si="110"/>
        <v>0</v>
      </c>
      <c r="AY80" s="34">
        <f t="shared" si="110"/>
        <v>0</v>
      </c>
      <c r="AZ80" s="34">
        <f t="shared" si="110"/>
        <v>0</v>
      </c>
      <c r="BA80" s="34">
        <f t="shared" si="110"/>
        <v>0</v>
      </c>
      <c r="BB80" s="34">
        <f t="shared" si="110"/>
        <v>0</v>
      </c>
      <c r="BC80" s="34">
        <f t="shared" si="110"/>
        <v>0</v>
      </c>
      <c r="BD80" s="34">
        <f t="shared" si="110"/>
        <v>0</v>
      </c>
      <c r="BE80" s="34">
        <f t="shared" si="110"/>
        <v>0</v>
      </c>
      <c r="BF80" s="34">
        <f t="shared" si="110"/>
        <v>0</v>
      </c>
      <c r="BG80" s="34">
        <f t="shared" si="110"/>
        <v>0</v>
      </c>
      <c r="BH80" s="34">
        <f t="shared" si="110"/>
        <v>0</v>
      </c>
      <c r="BI80" s="34">
        <f t="shared" si="110"/>
        <v>0</v>
      </c>
      <c r="BJ80" s="34">
        <f t="shared" si="110"/>
        <v>0</v>
      </c>
      <c r="BK80" s="34">
        <f t="shared" si="110"/>
        <v>0</v>
      </c>
    </row>
    <row r="81" spans="1:6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</row>
    <row r="82" spans="1:63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</row>
    <row r="83" spans="1:63">
      <c r="A83" s="373" t="s">
        <v>238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</row>
    <row r="84" spans="1:63">
      <c r="A84" t="s">
        <v>239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</row>
    <row r="85" spans="1:63">
      <c r="A85" s="11" t="s">
        <v>240</v>
      </c>
      <c r="C85" s="17">
        <f t="shared" ref="C85:BK87" ca="1" si="111">-C29</f>
        <v>208996.07310861073</v>
      </c>
      <c r="D85" s="17">
        <f t="shared" si="111"/>
        <v>0</v>
      </c>
      <c r="E85" s="17">
        <f t="shared" si="111"/>
        <v>0</v>
      </c>
      <c r="F85" s="17">
        <f t="shared" si="111"/>
        <v>0</v>
      </c>
      <c r="G85" s="17">
        <f t="shared" si="111"/>
        <v>0</v>
      </c>
      <c r="H85" s="17">
        <f t="shared" si="111"/>
        <v>0</v>
      </c>
      <c r="I85" s="17">
        <f t="shared" si="111"/>
        <v>0</v>
      </c>
      <c r="J85" s="17">
        <f t="shared" si="111"/>
        <v>0</v>
      </c>
      <c r="K85" s="17">
        <f t="shared" si="111"/>
        <v>0</v>
      </c>
      <c r="L85" s="17">
        <f t="shared" si="111"/>
        <v>0</v>
      </c>
      <c r="M85" s="17">
        <f t="shared" si="111"/>
        <v>0</v>
      </c>
      <c r="N85" s="17">
        <f t="shared" si="111"/>
        <v>0</v>
      </c>
      <c r="O85" s="17">
        <f t="shared" si="111"/>
        <v>0</v>
      </c>
      <c r="P85" s="17">
        <f t="shared" si="111"/>
        <v>0</v>
      </c>
      <c r="Q85" s="17">
        <f t="shared" si="111"/>
        <v>0</v>
      </c>
      <c r="R85" s="17">
        <f t="shared" si="111"/>
        <v>0</v>
      </c>
      <c r="S85" s="17">
        <f t="shared" si="111"/>
        <v>0</v>
      </c>
      <c r="T85" s="17">
        <f t="shared" si="111"/>
        <v>0</v>
      </c>
      <c r="U85" s="17">
        <f t="shared" si="111"/>
        <v>0</v>
      </c>
      <c r="V85" s="17">
        <f t="shared" si="111"/>
        <v>0</v>
      </c>
      <c r="W85" s="17">
        <f t="shared" si="111"/>
        <v>0</v>
      </c>
      <c r="X85" s="17">
        <f t="shared" si="111"/>
        <v>0</v>
      </c>
      <c r="Y85" s="17">
        <f t="shared" si="111"/>
        <v>0</v>
      </c>
      <c r="Z85" s="17">
        <f t="shared" si="111"/>
        <v>0</v>
      </c>
      <c r="AA85" s="17">
        <f t="shared" si="111"/>
        <v>0</v>
      </c>
      <c r="AB85" s="17">
        <f t="shared" si="111"/>
        <v>0</v>
      </c>
      <c r="AC85" s="17">
        <f t="shared" si="111"/>
        <v>0</v>
      </c>
      <c r="AD85" s="17">
        <f t="shared" si="111"/>
        <v>0</v>
      </c>
      <c r="AE85" s="17">
        <f t="shared" si="111"/>
        <v>0</v>
      </c>
      <c r="AF85" s="17">
        <f t="shared" si="111"/>
        <v>0</v>
      </c>
      <c r="AG85" s="17">
        <f t="shared" si="111"/>
        <v>0</v>
      </c>
      <c r="AH85" s="17">
        <f t="shared" si="111"/>
        <v>0</v>
      </c>
      <c r="AI85" s="17">
        <f t="shared" si="111"/>
        <v>0</v>
      </c>
      <c r="AJ85" s="17">
        <f t="shared" si="111"/>
        <v>0</v>
      </c>
      <c r="AK85" s="17">
        <f t="shared" si="111"/>
        <v>0</v>
      </c>
      <c r="AL85" s="17">
        <f t="shared" si="111"/>
        <v>0</v>
      </c>
      <c r="AM85" s="17">
        <f t="shared" si="111"/>
        <v>0</v>
      </c>
      <c r="AN85" s="17">
        <f t="shared" si="111"/>
        <v>0</v>
      </c>
      <c r="AO85" s="17">
        <f t="shared" si="111"/>
        <v>0</v>
      </c>
      <c r="AP85" s="17">
        <f t="shared" si="111"/>
        <v>0</v>
      </c>
      <c r="AQ85" s="17">
        <f t="shared" si="111"/>
        <v>0</v>
      </c>
      <c r="AR85" s="17">
        <f t="shared" si="111"/>
        <v>0</v>
      </c>
      <c r="AS85" s="17">
        <f t="shared" si="111"/>
        <v>0</v>
      </c>
      <c r="AT85" s="17">
        <f t="shared" si="111"/>
        <v>0</v>
      </c>
      <c r="AU85" s="17">
        <f t="shared" si="111"/>
        <v>0</v>
      </c>
      <c r="AV85" s="17">
        <f t="shared" si="111"/>
        <v>0</v>
      </c>
      <c r="AW85" s="17">
        <f t="shared" si="111"/>
        <v>0</v>
      </c>
      <c r="AX85" s="17">
        <f t="shared" si="111"/>
        <v>0</v>
      </c>
      <c r="AY85" s="17">
        <f t="shared" si="111"/>
        <v>0</v>
      </c>
      <c r="AZ85" s="17">
        <f t="shared" si="111"/>
        <v>0</v>
      </c>
      <c r="BA85" s="17">
        <f t="shared" si="111"/>
        <v>0</v>
      </c>
      <c r="BB85" s="17">
        <f t="shared" si="111"/>
        <v>0</v>
      </c>
      <c r="BC85" s="17">
        <f t="shared" si="111"/>
        <v>0</v>
      </c>
      <c r="BD85" s="17">
        <f t="shared" si="111"/>
        <v>0</v>
      </c>
      <c r="BE85" s="17">
        <f t="shared" si="111"/>
        <v>0</v>
      </c>
      <c r="BF85" s="17">
        <f t="shared" si="111"/>
        <v>0</v>
      </c>
      <c r="BG85" s="17">
        <f t="shared" si="111"/>
        <v>0</v>
      </c>
      <c r="BH85" s="17">
        <f t="shared" si="111"/>
        <v>0</v>
      </c>
      <c r="BI85" s="17">
        <f t="shared" si="111"/>
        <v>0</v>
      </c>
      <c r="BJ85" s="17">
        <f t="shared" si="111"/>
        <v>0</v>
      </c>
      <c r="BK85" s="17">
        <f t="shared" si="111"/>
        <v>0</v>
      </c>
    </row>
    <row r="86" spans="1:63">
      <c r="A86" s="11" t="s">
        <v>241</v>
      </c>
      <c r="B86" s="16">
        <f ca="1">Inputs!R49</f>
        <v>928039.18887459172</v>
      </c>
      <c r="C86" s="17">
        <f t="shared" ca="1" si="111"/>
        <v>0</v>
      </c>
      <c r="D86" s="17">
        <f t="shared" ca="1" si="111"/>
        <v>0</v>
      </c>
      <c r="E86" s="17">
        <f t="shared" ca="1" si="111"/>
        <v>0</v>
      </c>
      <c r="F86" s="17">
        <f t="shared" ca="1" si="111"/>
        <v>0</v>
      </c>
      <c r="G86" s="17">
        <f t="shared" ca="1" si="111"/>
        <v>0</v>
      </c>
      <c r="H86" s="17">
        <f t="shared" ca="1" si="111"/>
        <v>0</v>
      </c>
      <c r="I86" s="17">
        <f t="shared" ca="1" si="111"/>
        <v>0</v>
      </c>
      <c r="J86" s="17">
        <f t="shared" ca="1" si="111"/>
        <v>0</v>
      </c>
      <c r="K86" s="17">
        <f t="shared" ca="1" si="111"/>
        <v>0</v>
      </c>
      <c r="L86" s="17">
        <f t="shared" ca="1" si="111"/>
        <v>0</v>
      </c>
      <c r="M86" s="17">
        <f t="shared" ca="1" si="111"/>
        <v>0</v>
      </c>
      <c r="N86" s="17">
        <f t="shared" ca="1" si="111"/>
        <v>0</v>
      </c>
      <c r="O86" s="17">
        <f t="shared" ca="1" si="111"/>
        <v>8301.7758744822113</v>
      </c>
      <c r="P86" s="17">
        <f t="shared" ca="1" si="111"/>
        <v>18559.371599153739</v>
      </c>
      <c r="Q86" s="17">
        <f t="shared" ca="1" si="111"/>
        <v>28885.810249392802</v>
      </c>
      <c r="R86" s="17">
        <f t="shared" ca="1" si="111"/>
        <v>39281.553858234627</v>
      </c>
      <c r="S86" s="17">
        <f t="shared" ca="1" si="111"/>
        <v>49747.067559607451</v>
      </c>
      <c r="T86" s="17">
        <f t="shared" ca="1" si="111"/>
        <v>60282.819609143888</v>
      </c>
      <c r="U86" s="17">
        <f t="shared" ca="1" si="111"/>
        <v>70889.281405131944</v>
      </c>
      <c r="V86" s="17">
        <f t="shared" ca="1" si="111"/>
        <v>81566.92750960667</v>
      </c>
      <c r="W86" s="17">
        <f t="shared" ca="1" si="111"/>
        <v>92316.235669583373</v>
      </c>
      <c r="X86" s="17">
        <f t="shared" ca="1" si="111"/>
        <v>103137.68683843338</v>
      </c>
      <c r="Y86" s="17">
        <f t="shared" ca="1" si="111"/>
        <v>114031.76519740303</v>
      </c>
      <c r="Z86" s="17">
        <f t="shared" ca="1" si="111"/>
        <v>124998.95817727748</v>
      </c>
      <c r="AA86" s="17">
        <f t="shared" ca="1" si="111"/>
        <v>136039.75648018962</v>
      </c>
      <c r="AB86" s="17">
        <f t="shared" si="111"/>
        <v>0</v>
      </c>
      <c r="AC86" s="17">
        <f t="shared" si="111"/>
        <v>0</v>
      </c>
      <c r="AD86" s="17">
        <f t="shared" si="111"/>
        <v>0</v>
      </c>
      <c r="AE86" s="17">
        <f t="shared" si="111"/>
        <v>0</v>
      </c>
      <c r="AF86" s="17">
        <f t="shared" si="111"/>
        <v>0</v>
      </c>
      <c r="AG86" s="17">
        <f t="shared" si="111"/>
        <v>0</v>
      </c>
      <c r="AH86" s="17">
        <f t="shared" si="111"/>
        <v>0</v>
      </c>
      <c r="AI86" s="17">
        <f t="shared" si="111"/>
        <v>0</v>
      </c>
      <c r="AJ86" s="17">
        <f t="shared" si="111"/>
        <v>0</v>
      </c>
      <c r="AK86" s="17">
        <f t="shared" si="111"/>
        <v>0</v>
      </c>
      <c r="AL86" s="17">
        <f t="shared" si="111"/>
        <v>0</v>
      </c>
      <c r="AM86" s="17">
        <f t="shared" si="111"/>
        <v>0</v>
      </c>
      <c r="AN86" s="17">
        <f t="shared" si="111"/>
        <v>0</v>
      </c>
      <c r="AO86" s="17">
        <f t="shared" si="111"/>
        <v>0</v>
      </c>
      <c r="AP86" s="17">
        <f t="shared" si="111"/>
        <v>0</v>
      </c>
      <c r="AQ86" s="17">
        <f t="shared" si="111"/>
        <v>0</v>
      </c>
      <c r="AR86" s="17">
        <f t="shared" si="111"/>
        <v>0</v>
      </c>
      <c r="AS86" s="17">
        <f t="shared" si="111"/>
        <v>0</v>
      </c>
      <c r="AT86" s="17">
        <f t="shared" si="111"/>
        <v>0</v>
      </c>
      <c r="AU86" s="17">
        <f t="shared" si="111"/>
        <v>0</v>
      </c>
      <c r="AV86" s="17">
        <f t="shared" si="111"/>
        <v>0</v>
      </c>
      <c r="AW86" s="17">
        <f t="shared" si="111"/>
        <v>0</v>
      </c>
      <c r="AX86" s="17">
        <f t="shared" si="111"/>
        <v>0</v>
      </c>
      <c r="AY86" s="17">
        <f t="shared" si="111"/>
        <v>0</v>
      </c>
      <c r="AZ86" s="17">
        <f t="shared" si="111"/>
        <v>0</v>
      </c>
      <c r="BA86" s="17">
        <f t="shared" si="111"/>
        <v>0</v>
      </c>
      <c r="BB86" s="17">
        <f t="shared" si="111"/>
        <v>0</v>
      </c>
      <c r="BC86" s="17">
        <f t="shared" si="111"/>
        <v>0</v>
      </c>
      <c r="BD86" s="17">
        <f t="shared" si="111"/>
        <v>0</v>
      </c>
      <c r="BE86" s="17">
        <f t="shared" si="111"/>
        <v>0</v>
      </c>
      <c r="BF86" s="17">
        <f t="shared" si="111"/>
        <v>0</v>
      </c>
      <c r="BG86" s="17">
        <f t="shared" si="111"/>
        <v>0</v>
      </c>
      <c r="BH86" s="17">
        <f t="shared" si="111"/>
        <v>0</v>
      </c>
      <c r="BI86" s="17">
        <f t="shared" si="111"/>
        <v>0</v>
      </c>
      <c r="BJ86" s="17">
        <f t="shared" si="111"/>
        <v>0</v>
      </c>
      <c r="BK86" s="17">
        <f t="shared" si="111"/>
        <v>0</v>
      </c>
    </row>
    <row r="87" spans="1:63">
      <c r="A87" s="11" t="s">
        <v>242</v>
      </c>
      <c r="B87" s="16">
        <f ca="1">Inputs!R51</f>
        <v>493642.96463084116</v>
      </c>
      <c r="C87" s="17">
        <f t="shared" si="111"/>
        <v>0</v>
      </c>
      <c r="D87" s="17">
        <f t="shared" si="111"/>
        <v>0</v>
      </c>
      <c r="E87" s="17">
        <f t="shared" si="111"/>
        <v>0</v>
      </c>
      <c r="F87" s="17">
        <f t="shared" si="111"/>
        <v>0</v>
      </c>
      <c r="G87" s="17">
        <f t="shared" si="111"/>
        <v>0</v>
      </c>
      <c r="H87" s="17">
        <f t="shared" si="111"/>
        <v>0</v>
      </c>
      <c r="I87" s="17">
        <f t="shared" si="111"/>
        <v>0</v>
      </c>
      <c r="J87" s="17">
        <f t="shared" si="111"/>
        <v>0</v>
      </c>
      <c r="K87" s="17">
        <f t="shared" si="111"/>
        <v>0</v>
      </c>
      <c r="L87" s="17">
        <f t="shared" si="111"/>
        <v>0</v>
      </c>
      <c r="M87" s="17">
        <f t="shared" si="111"/>
        <v>0</v>
      </c>
      <c r="N87" s="17">
        <f t="shared" si="111"/>
        <v>0</v>
      </c>
      <c r="O87" s="17">
        <f t="shared" si="111"/>
        <v>0</v>
      </c>
      <c r="P87" s="17">
        <f t="shared" si="111"/>
        <v>0</v>
      </c>
      <c r="Q87" s="17">
        <f t="shared" si="111"/>
        <v>0</v>
      </c>
      <c r="R87" s="17">
        <f t="shared" si="111"/>
        <v>0</v>
      </c>
      <c r="S87" s="17">
        <f t="shared" si="111"/>
        <v>0</v>
      </c>
      <c r="T87" s="17">
        <f t="shared" si="111"/>
        <v>0</v>
      </c>
      <c r="U87" s="17">
        <f t="shared" si="111"/>
        <v>0</v>
      </c>
      <c r="V87" s="17">
        <f t="shared" si="111"/>
        <v>0</v>
      </c>
      <c r="W87" s="17">
        <f t="shared" si="111"/>
        <v>0</v>
      </c>
      <c r="X87" s="17">
        <f t="shared" si="111"/>
        <v>0</v>
      </c>
      <c r="Y87" s="17">
        <f t="shared" si="111"/>
        <v>0</v>
      </c>
      <c r="Z87" s="17">
        <f t="shared" si="111"/>
        <v>0</v>
      </c>
      <c r="AA87" s="17">
        <f t="shared" si="111"/>
        <v>0</v>
      </c>
      <c r="AB87" s="17">
        <f t="shared" ca="1" si="111"/>
        <v>119778.25064847653</v>
      </c>
      <c r="AC87" s="17">
        <f t="shared" ca="1" si="111"/>
        <v>103407.60719471557</v>
      </c>
      <c r="AD87" s="17">
        <f t="shared" ca="1" si="111"/>
        <v>86927.093651624338</v>
      </c>
      <c r="AE87" s="17">
        <f t="shared" ca="1" si="111"/>
        <v>70335.972636032675</v>
      </c>
      <c r="AF87" s="17">
        <f t="shared" ca="1" si="111"/>
        <v>53633.501815890311</v>
      </c>
      <c r="AG87" s="17">
        <f t="shared" ca="1" si="111"/>
        <v>36818.933877052914</v>
      </c>
      <c r="AH87" s="17">
        <f t="shared" ca="1" si="111"/>
        <v>19891.516489845031</v>
      </c>
      <c r="AI87" s="17">
        <f t="shared" ca="1" si="111"/>
        <v>2850.3048570559185</v>
      </c>
      <c r="AJ87" s="17">
        <f t="shared" ca="1" si="111"/>
        <v>0</v>
      </c>
      <c r="AK87" s="17">
        <f t="shared" ca="1" si="111"/>
        <v>0</v>
      </c>
      <c r="AL87" s="17">
        <f t="shared" ca="1" si="111"/>
        <v>0</v>
      </c>
      <c r="AM87" s="17">
        <f t="shared" si="111"/>
        <v>0</v>
      </c>
      <c r="AN87" s="17">
        <f t="shared" si="111"/>
        <v>0</v>
      </c>
      <c r="AO87" s="17">
        <f t="shared" si="111"/>
        <v>0</v>
      </c>
      <c r="AP87" s="17">
        <f t="shared" si="111"/>
        <v>0</v>
      </c>
      <c r="AQ87" s="17">
        <f t="shared" si="111"/>
        <v>0</v>
      </c>
      <c r="AR87" s="17">
        <f t="shared" si="111"/>
        <v>0</v>
      </c>
      <c r="AS87" s="17">
        <f t="shared" si="111"/>
        <v>0</v>
      </c>
      <c r="AT87" s="17">
        <f t="shared" si="111"/>
        <v>0</v>
      </c>
      <c r="AU87" s="17">
        <f t="shared" si="111"/>
        <v>0</v>
      </c>
      <c r="AV87" s="17">
        <f t="shared" si="111"/>
        <v>0</v>
      </c>
      <c r="AW87" s="17">
        <f t="shared" si="111"/>
        <v>0</v>
      </c>
      <c r="AX87" s="17">
        <f t="shared" si="111"/>
        <v>0</v>
      </c>
      <c r="AY87" s="17">
        <f t="shared" si="111"/>
        <v>0</v>
      </c>
      <c r="AZ87" s="17">
        <f t="shared" si="111"/>
        <v>0</v>
      </c>
      <c r="BA87" s="17">
        <f t="shared" si="111"/>
        <v>0</v>
      </c>
      <c r="BB87" s="17">
        <f t="shared" si="111"/>
        <v>0</v>
      </c>
      <c r="BC87" s="17">
        <f t="shared" si="111"/>
        <v>0</v>
      </c>
      <c r="BD87" s="17">
        <f t="shared" si="111"/>
        <v>0</v>
      </c>
      <c r="BE87" s="17">
        <f t="shared" si="111"/>
        <v>0</v>
      </c>
      <c r="BF87" s="17">
        <f t="shared" si="111"/>
        <v>0</v>
      </c>
      <c r="BG87" s="17">
        <f t="shared" si="111"/>
        <v>0</v>
      </c>
      <c r="BH87" s="17">
        <f t="shared" si="111"/>
        <v>0</v>
      </c>
      <c r="BI87" s="17">
        <f t="shared" si="111"/>
        <v>0</v>
      </c>
      <c r="BJ87" s="17">
        <f t="shared" si="111"/>
        <v>0</v>
      </c>
      <c r="BK87" s="17">
        <f t="shared" si="111"/>
        <v>0</v>
      </c>
    </row>
    <row r="88" spans="1:63">
      <c r="A88" t="s">
        <v>243</v>
      </c>
      <c r="C88" s="17">
        <f t="shared" ref="C88:AH88" ca="1" si="112">C80+C71+C34</f>
        <v>-5329076.0731086107</v>
      </c>
      <c r="D88" s="17">
        <f t="shared" ca="1" si="112"/>
        <v>-120080</v>
      </c>
      <c r="E88" s="17">
        <f t="shared" ca="1" si="112"/>
        <v>-120080</v>
      </c>
      <c r="F88" s="17">
        <f t="shared" ca="1" si="112"/>
        <v>-120080</v>
      </c>
      <c r="G88" s="17">
        <f t="shared" ca="1" si="112"/>
        <v>-120080</v>
      </c>
      <c r="H88" s="17">
        <f t="shared" ca="1" si="112"/>
        <v>-120080</v>
      </c>
      <c r="I88" s="17">
        <f t="shared" ca="1" si="112"/>
        <v>-120080</v>
      </c>
      <c r="J88" s="17">
        <f t="shared" ca="1" si="112"/>
        <v>-1520080</v>
      </c>
      <c r="K88" s="17">
        <f t="shared" ca="1" si="112"/>
        <v>-1520080</v>
      </c>
      <c r="L88" s="17">
        <f t="shared" ca="1" si="112"/>
        <v>-1520080</v>
      </c>
      <c r="M88" s="17">
        <f t="shared" ca="1" si="112"/>
        <v>-1520080</v>
      </c>
      <c r="N88" s="17">
        <f t="shared" ca="1" si="112"/>
        <v>-1520080</v>
      </c>
      <c r="O88" s="17">
        <f t="shared" ca="1" si="112"/>
        <v>-1528381.7758744822</v>
      </c>
      <c r="P88" s="17">
        <f t="shared" ca="1" si="112"/>
        <v>-1538639.3715991538</v>
      </c>
      <c r="Q88" s="17">
        <f t="shared" ca="1" si="112"/>
        <v>-1548965.8102493929</v>
      </c>
      <c r="R88" s="17">
        <f t="shared" ca="1" si="112"/>
        <v>-1559361.5538582345</v>
      </c>
      <c r="S88" s="17">
        <f t="shared" ca="1" si="112"/>
        <v>-1569827.0675596076</v>
      </c>
      <c r="T88" s="17">
        <f t="shared" ca="1" si="112"/>
        <v>-1580362.8196091438</v>
      </c>
      <c r="U88" s="17">
        <f t="shared" ca="1" si="112"/>
        <v>-1590969.281405132</v>
      </c>
      <c r="V88" s="17">
        <f t="shared" ca="1" si="112"/>
        <v>-1601646.9275096066</v>
      </c>
      <c r="W88" s="17">
        <f t="shared" ca="1" si="112"/>
        <v>-1612396.2356695833</v>
      </c>
      <c r="X88" s="17">
        <f t="shared" ca="1" si="112"/>
        <v>-1623217.6868384334</v>
      </c>
      <c r="Y88" s="17">
        <f t="shared" ca="1" si="112"/>
        <v>-1634111.765197403</v>
      </c>
      <c r="Z88" s="17">
        <f t="shared" ca="1" si="112"/>
        <v>-1645078.9581772776</v>
      </c>
      <c r="AA88" s="17">
        <f t="shared" ca="1" si="112"/>
        <v>-1656119.7564801895</v>
      </c>
      <c r="AB88" s="17">
        <f t="shared" ca="1" si="112"/>
        <v>-102718.22321839843</v>
      </c>
      <c r="AC88" s="17">
        <f t="shared" ca="1" si="112"/>
        <v>-69287.552334559354</v>
      </c>
      <c r="AD88" s="17">
        <f t="shared" ca="1" si="112"/>
        <v>-35747.011361390003</v>
      </c>
      <c r="AE88" s="17">
        <f t="shared" ca="1" si="112"/>
        <v>-2095.8629157202377</v>
      </c>
      <c r="AF88" s="17">
        <f t="shared" ca="1" si="112"/>
        <v>31666.635334500257</v>
      </c>
      <c r="AG88" s="17">
        <f t="shared" ca="1" si="112"/>
        <v>65541.230703415727</v>
      </c>
      <c r="AH88" s="17">
        <f t="shared" ca="1" si="112"/>
        <v>99528.675520701683</v>
      </c>
      <c r="AI88" s="17">
        <f t="shared" ref="AI88:BK88" ca="1" si="113">AI80+AI71+AI34</f>
        <v>133629.91458356896</v>
      </c>
      <c r="AJ88" s="17">
        <f t="shared" ca="1" si="113"/>
        <v>153540.24687070301</v>
      </c>
      <c r="AK88" s="17">
        <f t="shared" ca="1" si="113"/>
        <v>170600.27430078102</v>
      </c>
      <c r="AL88" s="17">
        <f t="shared" ca="1" si="113"/>
        <v>187660.30173085921</v>
      </c>
      <c r="AM88" s="17">
        <f t="shared" si="113"/>
        <v>41190789.261720553</v>
      </c>
      <c r="AN88" s="17">
        <f t="shared" si="113"/>
        <v>0</v>
      </c>
      <c r="AO88" s="17">
        <f t="shared" si="113"/>
        <v>0</v>
      </c>
      <c r="AP88" s="17">
        <f t="shared" si="113"/>
        <v>0</v>
      </c>
      <c r="AQ88" s="17">
        <f t="shared" si="113"/>
        <v>0</v>
      </c>
      <c r="AR88" s="17">
        <f t="shared" si="113"/>
        <v>0</v>
      </c>
      <c r="AS88" s="17">
        <f t="shared" si="113"/>
        <v>0</v>
      </c>
      <c r="AT88" s="17">
        <f t="shared" si="113"/>
        <v>0</v>
      </c>
      <c r="AU88" s="17">
        <f t="shared" si="113"/>
        <v>0</v>
      </c>
      <c r="AV88" s="17">
        <f t="shared" si="113"/>
        <v>0</v>
      </c>
      <c r="AW88" s="17">
        <f t="shared" si="113"/>
        <v>0</v>
      </c>
      <c r="AX88" s="17">
        <f t="shared" si="113"/>
        <v>0</v>
      </c>
      <c r="AY88" s="17">
        <f t="shared" si="113"/>
        <v>0</v>
      </c>
      <c r="AZ88" s="17">
        <f t="shared" si="113"/>
        <v>0</v>
      </c>
      <c r="BA88" s="17">
        <f t="shared" si="113"/>
        <v>0</v>
      </c>
      <c r="BB88" s="17">
        <f t="shared" si="113"/>
        <v>0</v>
      </c>
      <c r="BC88" s="17">
        <f t="shared" si="113"/>
        <v>0</v>
      </c>
      <c r="BD88" s="17">
        <f t="shared" si="113"/>
        <v>0</v>
      </c>
      <c r="BE88" s="17">
        <f t="shared" si="113"/>
        <v>0</v>
      </c>
      <c r="BF88" s="17">
        <f t="shared" si="113"/>
        <v>0</v>
      </c>
      <c r="BG88" s="17">
        <f t="shared" si="113"/>
        <v>0</v>
      </c>
      <c r="BH88" s="17">
        <f t="shared" si="113"/>
        <v>0</v>
      </c>
      <c r="BI88" s="17">
        <f t="shared" si="113"/>
        <v>0</v>
      </c>
      <c r="BJ88" s="17">
        <f t="shared" si="113"/>
        <v>0</v>
      </c>
      <c r="BK88" s="17">
        <f t="shared" si="113"/>
        <v>0</v>
      </c>
    </row>
    <row r="89" spans="1:63">
      <c r="A89" s="37" t="s">
        <v>244</v>
      </c>
      <c r="B89" s="37"/>
      <c r="C89" s="38">
        <f ca="1">SUM(C85:C88)</f>
        <v>-5120080</v>
      </c>
      <c r="D89" s="38">
        <f t="shared" ref="D89:BK89" ca="1" si="114">SUM(D85:D88)</f>
        <v>-120080</v>
      </c>
      <c r="E89" s="38">
        <f t="shared" ca="1" si="114"/>
        <v>-120080</v>
      </c>
      <c r="F89" s="38">
        <f t="shared" ca="1" si="114"/>
        <v>-120080</v>
      </c>
      <c r="G89" s="38">
        <f t="shared" ca="1" si="114"/>
        <v>-120080</v>
      </c>
      <c r="H89" s="38">
        <f t="shared" ca="1" si="114"/>
        <v>-120080</v>
      </c>
      <c r="I89" s="38">
        <f t="shared" ca="1" si="114"/>
        <v>-120080</v>
      </c>
      <c r="J89" s="38">
        <f t="shared" ca="1" si="114"/>
        <v>-1520080</v>
      </c>
      <c r="K89" s="38">
        <f t="shared" ca="1" si="114"/>
        <v>-1520080</v>
      </c>
      <c r="L89" s="38">
        <f t="shared" ca="1" si="114"/>
        <v>-1520080</v>
      </c>
      <c r="M89" s="38">
        <f t="shared" ca="1" si="114"/>
        <v>-1520080</v>
      </c>
      <c r="N89" s="38">
        <f t="shared" ca="1" si="114"/>
        <v>-1520080</v>
      </c>
      <c r="O89" s="38">
        <f t="shared" ca="1" si="114"/>
        <v>-1520080</v>
      </c>
      <c r="P89" s="38">
        <f t="shared" ca="1" si="114"/>
        <v>-1520080</v>
      </c>
      <c r="Q89" s="38">
        <f t="shared" ca="1" si="114"/>
        <v>-1520080</v>
      </c>
      <c r="R89" s="38">
        <f t="shared" ca="1" si="114"/>
        <v>-1520080</v>
      </c>
      <c r="S89" s="38">
        <f t="shared" ca="1" si="114"/>
        <v>-1520080</v>
      </c>
      <c r="T89" s="38">
        <f t="shared" ca="1" si="114"/>
        <v>-1520080</v>
      </c>
      <c r="U89" s="38">
        <f t="shared" ca="1" si="114"/>
        <v>-1520080</v>
      </c>
      <c r="V89" s="38">
        <f t="shared" ca="1" si="114"/>
        <v>-1520080</v>
      </c>
      <c r="W89" s="38">
        <f t="shared" ca="1" si="114"/>
        <v>-1520080</v>
      </c>
      <c r="X89" s="38">
        <f t="shared" ca="1" si="114"/>
        <v>-1520080</v>
      </c>
      <c r="Y89" s="38">
        <f t="shared" ca="1" si="114"/>
        <v>-1520080</v>
      </c>
      <c r="Z89" s="38">
        <f t="shared" ca="1" si="114"/>
        <v>-1520080</v>
      </c>
      <c r="AA89" s="38">
        <f t="shared" ca="1" si="114"/>
        <v>-1520080</v>
      </c>
      <c r="AB89" s="38">
        <f t="shared" ca="1" si="114"/>
        <v>17060.027430078102</v>
      </c>
      <c r="AC89" s="38">
        <f t="shared" ca="1" si="114"/>
        <v>34120.054860156219</v>
      </c>
      <c r="AD89" s="38">
        <f t="shared" ca="1" si="114"/>
        <v>51180.082290234335</v>
      </c>
      <c r="AE89" s="38">
        <f t="shared" ca="1" si="114"/>
        <v>68240.109720312437</v>
      </c>
      <c r="AF89" s="38">
        <f t="shared" ca="1" si="114"/>
        <v>85300.137150390568</v>
      </c>
      <c r="AG89" s="38">
        <f t="shared" ca="1" si="114"/>
        <v>102360.16458046864</v>
      </c>
      <c r="AH89" s="38">
        <f t="shared" ca="1" si="114"/>
        <v>119420.19201054671</v>
      </c>
      <c r="AI89" s="38">
        <f t="shared" ca="1" si="114"/>
        <v>136480.21944062487</v>
      </c>
      <c r="AJ89" s="38">
        <f t="shared" ca="1" si="114"/>
        <v>153540.24687070301</v>
      </c>
      <c r="AK89" s="38">
        <f t="shared" ca="1" si="114"/>
        <v>170600.27430078102</v>
      </c>
      <c r="AL89" s="38">
        <f t="shared" ca="1" si="114"/>
        <v>187660.30173085921</v>
      </c>
      <c r="AM89" s="38">
        <f t="shared" si="114"/>
        <v>41190789.261720553</v>
      </c>
      <c r="AN89" s="38">
        <f t="shared" si="114"/>
        <v>0</v>
      </c>
      <c r="AO89" s="38">
        <f t="shared" si="114"/>
        <v>0</v>
      </c>
      <c r="AP89" s="38">
        <f t="shared" si="114"/>
        <v>0</v>
      </c>
      <c r="AQ89" s="38">
        <f t="shared" si="114"/>
        <v>0</v>
      </c>
      <c r="AR89" s="38">
        <f t="shared" si="114"/>
        <v>0</v>
      </c>
      <c r="AS89" s="38">
        <f t="shared" si="114"/>
        <v>0</v>
      </c>
      <c r="AT89" s="38">
        <f t="shared" si="114"/>
        <v>0</v>
      </c>
      <c r="AU89" s="38">
        <f t="shared" si="114"/>
        <v>0</v>
      </c>
      <c r="AV89" s="38">
        <f t="shared" si="114"/>
        <v>0</v>
      </c>
      <c r="AW89" s="38">
        <f t="shared" si="114"/>
        <v>0</v>
      </c>
      <c r="AX89" s="38">
        <f t="shared" si="114"/>
        <v>0</v>
      </c>
      <c r="AY89" s="38">
        <f t="shared" si="114"/>
        <v>0</v>
      </c>
      <c r="AZ89" s="38">
        <f t="shared" si="114"/>
        <v>0</v>
      </c>
      <c r="BA89" s="38">
        <f t="shared" si="114"/>
        <v>0</v>
      </c>
      <c r="BB89" s="38">
        <f t="shared" si="114"/>
        <v>0</v>
      </c>
      <c r="BC89" s="38">
        <f t="shared" si="114"/>
        <v>0</v>
      </c>
      <c r="BD89" s="38">
        <f t="shared" si="114"/>
        <v>0</v>
      </c>
      <c r="BE89" s="38">
        <f t="shared" si="114"/>
        <v>0</v>
      </c>
      <c r="BF89" s="38">
        <f t="shared" si="114"/>
        <v>0</v>
      </c>
      <c r="BG89" s="38">
        <f t="shared" si="114"/>
        <v>0</v>
      </c>
      <c r="BH89" s="38">
        <f t="shared" si="114"/>
        <v>0</v>
      </c>
      <c r="BI89" s="38">
        <f t="shared" si="114"/>
        <v>0</v>
      </c>
      <c r="BJ89" s="38">
        <f t="shared" si="114"/>
        <v>0</v>
      </c>
      <c r="BK89" s="38">
        <f t="shared" si="114"/>
        <v>0</v>
      </c>
    </row>
    <row r="90" spans="1:6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</row>
    <row r="91" spans="1:63">
      <c r="A91" s="10" t="s">
        <v>176</v>
      </c>
      <c r="B91" s="1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</row>
    <row r="92" spans="1:63">
      <c r="A92" s="39" t="s">
        <v>177</v>
      </c>
      <c r="B92" s="40">
        <f ca="1">XIRR(C89:BK89, C7:BK7)</f>
        <v>0.13278972506523132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</row>
    <row r="93" spans="1:63">
      <c r="A93" s="41" t="s">
        <v>178</v>
      </c>
      <c r="B93" s="42">
        <f ca="1">SUMIF(C89:BK89, "&gt;0")/-SUMIF(C89:BK89, "&lt;0")</f>
        <v>1.274524157343103</v>
      </c>
    </row>
    <row r="94" spans="1:63">
      <c r="A94" s="43" t="s">
        <v>179</v>
      </c>
      <c r="B94" s="53">
        <f ca="1">SUM(C89:BK89)</f>
        <v>9114751.0721057132</v>
      </c>
    </row>
    <row r="95" spans="1:63">
      <c r="B95" s="44"/>
    </row>
    <row r="96" spans="1:63">
      <c r="A96" t="s">
        <v>245</v>
      </c>
      <c r="B96" s="51"/>
      <c r="C96" s="30">
        <f t="shared" ref="C96:BK96" ca="1" si="115">C41</f>
        <v>-5329076.0731086107</v>
      </c>
      <c r="D96" s="30">
        <f t="shared" ca="1" si="115"/>
        <v>-120080</v>
      </c>
      <c r="E96" s="30">
        <f t="shared" ca="1" si="115"/>
        <v>-120080</v>
      </c>
      <c r="F96" s="30">
        <f t="shared" ca="1" si="115"/>
        <v>-120080</v>
      </c>
      <c r="G96" s="30">
        <f t="shared" ca="1" si="115"/>
        <v>-120080</v>
      </c>
      <c r="H96" s="30">
        <f t="shared" ca="1" si="115"/>
        <v>-120080</v>
      </c>
      <c r="I96" s="30">
        <f t="shared" ca="1" si="115"/>
        <v>-120080</v>
      </c>
      <c r="J96" s="30">
        <f t="shared" ca="1" si="115"/>
        <v>-1520080</v>
      </c>
      <c r="K96" s="30">
        <f t="shared" ca="1" si="115"/>
        <v>-1520080</v>
      </c>
      <c r="L96" s="30">
        <f t="shared" ca="1" si="115"/>
        <v>-1520080</v>
      </c>
      <c r="M96" s="30">
        <f t="shared" ca="1" si="115"/>
        <v>-1520080</v>
      </c>
      <c r="N96" s="30">
        <f t="shared" ca="1" si="115"/>
        <v>-1520080</v>
      </c>
      <c r="O96" s="30">
        <f t="shared" ca="1" si="115"/>
        <v>-283117.04354299605</v>
      </c>
      <c r="P96" s="30">
        <f t="shared" ca="1" si="115"/>
        <v>0</v>
      </c>
      <c r="Q96" s="30">
        <f t="shared" ca="1" si="115"/>
        <v>0</v>
      </c>
      <c r="R96" s="30">
        <f t="shared" ca="1" si="115"/>
        <v>0</v>
      </c>
      <c r="S96" s="30">
        <f t="shared" ca="1" si="115"/>
        <v>0</v>
      </c>
      <c r="T96" s="30">
        <f t="shared" ca="1" si="115"/>
        <v>0</v>
      </c>
      <c r="U96" s="30">
        <f t="shared" ca="1" si="115"/>
        <v>0</v>
      </c>
      <c r="V96" s="30">
        <f t="shared" ca="1" si="115"/>
        <v>0</v>
      </c>
      <c r="W96" s="30">
        <f t="shared" ca="1" si="115"/>
        <v>0</v>
      </c>
      <c r="X96" s="30">
        <f t="shared" ca="1" si="115"/>
        <v>0</v>
      </c>
      <c r="Y96" s="30">
        <f t="shared" ca="1" si="115"/>
        <v>0</v>
      </c>
      <c r="Z96" s="30">
        <f t="shared" ca="1" si="115"/>
        <v>0</v>
      </c>
      <c r="AA96" s="30">
        <f t="shared" ca="1" si="115"/>
        <v>0</v>
      </c>
      <c r="AB96" s="30">
        <f t="shared" ca="1" si="115"/>
        <v>0</v>
      </c>
      <c r="AC96" s="30">
        <f t="shared" ca="1" si="115"/>
        <v>0</v>
      </c>
      <c r="AD96" s="30">
        <f t="shared" ca="1" si="115"/>
        <v>0</v>
      </c>
      <c r="AE96" s="30">
        <f t="shared" ca="1" si="115"/>
        <v>0</v>
      </c>
      <c r="AF96" s="30">
        <f t="shared" ca="1" si="115"/>
        <v>0</v>
      </c>
      <c r="AG96" s="30">
        <f t="shared" ca="1" si="115"/>
        <v>0</v>
      </c>
      <c r="AH96" s="30">
        <f t="shared" ca="1" si="115"/>
        <v>0</v>
      </c>
      <c r="AI96" s="30">
        <f t="shared" ca="1" si="115"/>
        <v>0</v>
      </c>
      <c r="AJ96" s="30">
        <f t="shared" ca="1" si="115"/>
        <v>0</v>
      </c>
      <c r="AK96" s="30">
        <f t="shared" ca="1" si="115"/>
        <v>0</v>
      </c>
      <c r="AL96" s="30">
        <f t="shared" ca="1" si="115"/>
        <v>0</v>
      </c>
      <c r="AM96" s="30">
        <f t="shared" ca="1" si="115"/>
        <v>0</v>
      </c>
      <c r="AN96" s="30">
        <f t="shared" ca="1" si="115"/>
        <v>0</v>
      </c>
      <c r="AO96" s="30">
        <f t="shared" ca="1" si="115"/>
        <v>0</v>
      </c>
      <c r="AP96" s="30">
        <f t="shared" ca="1" si="115"/>
        <v>0</v>
      </c>
      <c r="AQ96" s="30">
        <f t="shared" ca="1" si="115"/>
        <v>0</v>
      </c>
      <c r="AR96" s="30">
        <f t="shared" ca="1" si="115"/>
        <v>0</v>
      </c>
      <c r="AS96" s="30">
        <f t="shared" ca="1" si="115"/>
        <v>0</v>
      </c>
      <c r="AT96" s="30">
        <f t="shared" ca="1" si="115"/>
        <v>0</v>
      </c>
      <c r="AU96" s="30">
        <f t="shared" ca="1" si="115"/>
        <v>0</v>
      </c>
      <c r="AV96" s="30">
        <f t="shared" ca="1" si="115"/>
        <v>0</v>
      </c>
      <c r="AW96" s="30">
        <f t="shared" ca="1" si="115"/>
        <v>0</v>
      </c>
      <c r="AX96" s="30">
        <f t="shared" ca="1" si="115"/>
        <v>0</v>
      </c>
      <c r="AY96" s="30">
        <f t="shared" ca="1" si="115"/>
        <v>0</v>
      </c>
      <c r="AZ96" s="30">
        <f t="shared" ca="1" si="115"/>
        <v>0</v>
      </c>
      <c r="BA96" s="30">
        <f t="shared" ca="1" si="115"/>
        <v>0</v>
      </c>
      <c r="BB96" s="30">
        <f t="shared" ca="1" si="115"/>
        <v>0</v>
      </c>
      <c r="BC96" s="30">
        <f t="shared" ca="1" si="115"/>
        <v>0</v>
      </c>
      <c r="BD96" s="30">
        <f t="shared" ca="1" si="115"/>
        <v>0</v>
      </c>
      <c r="BE96" s="30">
        <f t="shared" ca="1" si="115"/>
        <v>0</v>
      </c>
      <c r="BF96" s="30">
        <f t="shared" ca="1" si="115"/>
        <v>0</v>
      </c>
      <c r="BG96" s="30">
        <f t="shared" ca="1" si="115"/>
        <v>0</v>
      </c>
      <c r="BH96" s="30">
        <f t="shared" ca="1" si="115"/>
        <v>0</v>
      </c>
      <c r="BI96" s="30">
        <f t="shared" ca="1" si="115"/>
        <v>0</v>
      </c>
      <c r="BJ96" s="30">
        <f t="shared" ca="1" si="115"/>
        <v>0</v>
      </c>
      <c r="BK96" s="30">
        <f t="shared" ca="1" si="115"/>
        <v>0</v>
      </c>
    </row>
    <row r="97" spans="1:63">
      <c r="A97" t="s">
        <v>226</v>
      </c>
      <c r="B97" s="44"/>
      <c r="C97" s="30">
        <f t="shared" ref="C97:AH97" si="116">C71</f>
        <v>0</v>
      </c>
      <c r="D97" s="30">
        <f t="shared" si="116"/>
        <v>0</v>
      </c>
      <c r="E97" s="30">
        <f t="shared" si="116"/>
        <v>0</v>
      </c>
      <c r="F97" s="30">
        <f t="shared" si="116"/>
        <v>0</v>
      </c>
      <c r="G97" s="30">
        <f t="shared" si="116"/>
        <v>0</v>
      </c>
      <c r="H97" s="30">
        <f t="shared" si="116"/>
        <v>0</v>
      </c>
      <c r="I97" s="30">
        <f t="shared" si="116"/>
        <v>0</v>
      </c>
      <c r="J97" s="30">
        <f t="shared" si="116"/>
        <v>0</v>
      </c>
      <c r="K97" s="30">
        <f t="shared" si="116"/>
        <v>0</v>
      </c>
      <c r="L97" s="30">
        <f t="shared" si="116"/>
        <v>0</v>
      </c>
      <c r="M97" s="30">
        <f t="shared" si="116"/>
        <v>0</v>
      </c>
      <c r="N97" s="30">
        <f t="shared" si="116"/>
        <v>0</v>
      </c>
      <c r="O97" s="30">
        <f t="shared" si="116"/>
        <v>0</v>
      </c>
      <c r="P97" s="30">
        <f t="shared" si="116"/>
        <v>0</v>
      </c>
      <c r="Q97" s="30">
        <f t="shared" si="116"/>
        <v>0</v>
      </c>
      <c r="R97" s="30">
        <f t="shared" si="116"/>
        <v>0</v>
      </c>
      <c r="S97" s="30">
        <f t="shared" si="116"/>
        <v>0</v>
      </c>
      <c r="T97" s="30">
        <f t="shared" si="116"/>
        <v>0</v>
      </c>
      <c r="U97" s="30">
        <f t="shared" si="116"/>
        <v>0</v>
      </c>
      <c r="V97" s="30">
        <f t="shared" si="116"/>
        <v>0</v>
      </c>
      <c r="W97" s="30">
        <f t="shared" si="116"/>
        <v>0</v>
      </c>
      <c r="X97" s="30">
        <f t="shared" si="116"/>
        <v>0</v>
      </c>
      <c r="Y97" s="30">
        <f t="shared" si="116"/>
        <v>0</v>
      </c>
      <c r="Z97" s="30">
        <f t="shared" si="116"/>
        <v>0</v>
      </c>
      <c r="AA97" s="30">
        <f t="shared" si="116"/>
        <v>0</v>
      </c>
      <c r="AB97" s="30">
        <f t="shared" si="116"/>
        <v>17060.027430078109</v>
      </c>
      <c r="AC97" s="30">
        <f t="shared" si="116"/>
        <v>34120.054860156219</v>
      </c>
      <c r="AD97" s="30">
        <f t="shared" si="116"/>
        <v>51180.082290234335</v>
      </c>
      <c r="AE97" s="30">
        <f t="shared" si="116"/>
        <v>68240.109720312437</v>
      </c>
      <c r="AF97" s="30">
        <f t="shared" si="116"/>
        <v>85300.137150390568</v>
      </c>
      <c r="AG97" s="30">
        <f t="shared" si="116"/>
        <v>102360.16458046864</v>
      </c>
      <c r="AH97" s="30">
        <f t="shared" si="116"/>
        <v>119420.19201054671</v>
      </c>
      <c r="AI97" s="30">
        <f t="shared" ref="AI97:BK97" si="117">AI71</f>
        <v>136480.21944062487</v>
      </c>
      <c r="AJ97" s="30">
        <f t="shared" si="117"/>
        <v>153540.24687070301</v>
      </c>
      <c r="AK97" s="30">
        <f t="shared" si="117"/>
        <v>170600.27430078102</v>
      </c>
      <c r="AL97" s="30">
        <f t="shared" si="117"/>
        <v>187660.30173085921</v>
      </c>
      <c r="AM97" s="30">
        <f t="shared" si="117"/>
        <v>204720.32916093734</v>
      </c>
      <c r="AN97" s="30">
        <f t="shared" si="117"/>
        <v>0</v>
      </c>
      <c r="AO97" s="30">
        <f t="shared" si="117"/>
        <v>0</v>
      </c>
      <c r="AP97" s="30">
        <f t="shared" si="117"/>
        <v>0</v>
      </c>
      <c r="AQ97" s="30">
        <f t="shared" si="117"/>
        <v>0</v>
      </c>
      <c r="AR97" s="30">
        <f t="shared" si="117"/>
        <v>0</v>
      </c>
      <c r="AS97" s="30">
        <f t="shared" si="117"/>
        <v>0</v>
      </c>
      <c r="AT97" s="30">
        <f t="shared" si="117"/>
        <v>0</v>
      </c>
      <c r="AU97" s="30">
        <f t="shared" si="117"/>
        <v>0</v>
      </c>
      <c r="AV97" s="30">
        <f t="shared" si="117"/>
        <v>0</v>
      </c>
      <c r="AW97" s="30">
        <f t="shared" si="117"/>
        <v>0</v>
      </c>
      <c r="AX97" s="30">
        <f t="shared" si="117"/>
        <v>0</v>
      </c>
      <c r="AY97" s="30">
        <f t="shared" si="117"/>
        <v>0</v>
      </c>
      <c r="AZ97" s="30">
        <f t="shared" si="117"/>
        <v>0</v>
      </c>
      <c r="BA97" s="30">
        <f t="shared" si="117"/>
        <v>0</v>
      </c>
      <c r="BB97" s="30">
        <f t="shared" si="117"/>
        <v>0</v>
      </c>
      <c r="BC97" s="30">
        <f t="shared" si="117"/>
        <v>0</v>
      </c>
      <c r="BD97" s="30">
        <f t="shared" si="117"/>
        <v>0</v>
      </c>
      <c r="BE97" s="30">
        <f t="shared" si="117"/>
        <v>0</v>
      </c>
      <c r="BF97" s="30">
        <f t="shared" si="117"/>
        <v>0</v>
      </c>
      <c r="BG97" s="30">
        <f t="shared" si="117"/>
        <v>0</v>
      </c>
      <c r="BH97" s="30">
        <f t="shared" si="117"/>
        <v>0</v>
      </c>
      <c r="BI97" s="30">
        <f t="shared" si="117"/>
        <v>0</v>
      </c>
      <c r="BJ97" s="30">
        <f t="shared" si="117"/>
        <v>0</v>
      </c>
      <c r="BK97" s="30">
        <f t="shared" si="117"/>
        <v>0</v>
      </c>
    </row>
    <row r="98" spans="1:63">
      <c r="A98" t="s">
        <v>237</v>
      </c>
      <c r="B98" s="44"/>
      <c r="C98" s="30">
        <f t="shared" ref="C98:BK98" si="118">C80</f>
        <v>0</v>
      </c>
      <c r="D98" s="30">
        <f t="shared" si="118"/>
        <v>0</v>
      </c>
      <c r="E98" s="30">
        <f t="shared" si="118"/>
        <v>0</v>
      </c>
      <c r="F98" s="30">
        <f t="shared" si="118"/>
        <v>0</v>
      </c>
      <c r="G98" s="30">
        <f t="shared" si="118"/>
        <v>0</v>
      </c>
      <c r="H98" s="30">
        <f t="shared" si="118"/>
        <v>0</v>
      </c>
      <c r="I98" s="30">
        <f t="shared" si="118"/>
        <v>0</v>
      </c>
      <c r="J98" s="30">
        <f t="shared" si="118"/>
        <v>0</v>
      </c>
      <c r="K98" s="30">
        <f t="shared" si="118"/>
        <v>0</v>
      </c>
      <c r="L98" s="30">
        <f t="shared" si="118"/>
        <v>0</v>
      </c>
      <c r="M98" s="30">
        <f t="shared" si="118"/>
        <v>0</v>
      </c>
      <c r="N98" s="30">
        <f t="shared" si="118"/>
        <v>0</v>
      </c>
      <c r="O98" s="30">
        <f t="shared" si="118"/>
        <v>0</v>
      </c>
      <c r="P98" s="30">
        <f t="shared" si="118"/>
        <v>0</v>
      </c>
      <c r="Q98" s="30">
        <f t="shared" si="118"/>
        <v>0</v>
      </c>
      <c r="R98" s="30">
        <f t="shared" si="118"/>
        <v>0</v>
      </c>
      <c r="S98" s="30">
        <f t="shared" si="118"/>
        <v>0</v>
      </c>
      <c r="T98" s="30">
        <f t="shared" si="118"/>
        <v>0</v>
      </c>
      <c r="U98" s="30">
        <f t="shared" si="118"/>
        <v>0</v>
      </c>
      <c r="V98" s="30">
        <f t="shared" si="118"/>
        <v>0</v>
      </c>
      <c r="W98" s="30">
        <f t="shared" si="118"/>
        <v>0</v>
      </c>
      <c r="X98" s="30">
        <f t="shared" si="118"/>
        <v>0</v>
      </c>
      <c r="Y98" s="30">
        <f t="shared" si="118"/>
        <v>0</v>
      </c>
      <c r="Z98" s="30">
        <f t="shared" si="118"/>
        <v>0</v>
      </c>
      <c r="AA98" s="30">
        <f t="shared" si="118"/>
        <v>0</v>
      </c>
      <c r="AB98" s="30">
        <f t="shared" si="118"/>
        <v>0</v>
      </c>
      <c r="AC98" s="30">
        <f t="shared" si="118"/>
        <v>0</v>
      </c>
      <c r="AD98" s="30">
        <f t="shared" si="118"/>
        <v>0</v>
      </c>
      <c r="AE98" s="30">
        <f t="shared" si="118"/>
        <v>0</v>
      </c>
      <c r="AF98" s="30">
        <f t="shared" si="118"/>
        <v>0</v>
      </c>
      <c r="AG98" s="30">
        <f t="shared" si="118"/>
        <v>0</v>
      </c>
      <c r="AH98" s="30">
        <f t="shared" si="118"/>
        <v>0</v>
      </c>
      <c r="AI98" s="30">
        <f t="shared" si="118"/>
        <v>0</v>
      </c>
      <c r="AJ98" s="30">
        <f t="shared" si="118"/>
        <v>0</v>
      </c>
      <c r="AK98" s="30">
        <f t="shared" si="118"/>
        <v>0</v>
      </c>
      <c r="AL98" s="30">
        <f t="shared" si="118"/>
        <v>0</v>
      </c>
      <c r="AM98" s="30">
        <f t="shared" si="118"/>
        <v>40986068.932559617</v>
      </c>
      <c r="AN98" s="30">
        <f t="shared" si="118"/>
        <v>0</v>
      </c>
      <c r="AO98" s="30">
        <f t="shared" si="118"/>
        <v>0</v>
      </c>
      <c r="AP98" s="30">
        <f t="shared" si="118"/>
        <v>0</v>
      </c>
      <c r="AQ98" s="30">
        <f t="shared" si="118"/>
        <v>0</v>
      </c>
      <c r="AR98" s="30">
        <f t="shared" si="118"/>
        <v>0</v>
      </c>
      <c r="AS98" s="30">
        <f t="shared" si="118"/>
        <v>0</v>
      </c>
      <c r="AT98" s="30">
        <f t="shared" si="118"/>
        <v>0</v>
      </c>
      <c r="AU98" s="30">
        <f t="shared" si="118"/>
        <v>0</v>
      </c>
      <c r="AV98" s="30">
        <f t="shared" si="118"/>
        <v>0</v>
      </c>
      <c r="AW98" s="30">
        <f t="shared" si="118"/>
        <v>0</v>
      </c>
      <c r="AX98" s="30">
        <f t="shared" si="118"/>
        <v>0</v>
      </c>
      <c r="AY98" s="30">
        <f t="shared" si="118"/>
        <v>0</v>
      </c>
      <c r="AZ98" s="30">
        <f t="shared" si="118"/>
        <v>0</v>
      </c>
      <c r="BA98" s="30">
        <f t="shared" si="118"/>
        <v>0</v>
      </c>
      <c r="BB98" s="30">
        <f t="shared" si="118"/>
        <v>0</v>
      </c>
      <c r="BC98" s="30">
        <f t="shared" si="118"/>
        <v>0</v>
      </c>
      <c r="BD98" s="30">
        <f t="shared" si="118"/>
        <v>0</v>
      </c>
      <c r="BE98" s="30">
        <f t="shared" si="118"/>
        <v>0</v>
      </c>
      <c r="BF98" s="30">
        <f t="shared" si="118"/>
        <v>0</v>
      </c>
      <c r="BG98" s="30">
        <f t="shared" si="118"/>
        <v>0</v>
      </c>
      <c r="BH98" s="30">
        <f t="shared" si="118"/>
        <v>0</v>
      </c>
      <c r="BI98" s="30">
        <f t="shared" si="118"/>
        <v>0</v>
      </c>
      <c r="BJ98" s="30">
        <f t="shared" si="118"/>
        <v>0</v>
      </c>
      <c r="BK98" s="30">
        <f t="shared" si="118"/>
        <v>0</v>
      </c>
    </row>
    <row r="99" spans="1:63">
      <c r="A99" t="s">
        <v>246</v>
      </c>
      <c r="B99" s="44"/>
      <c r="C99" s="17">
        <f t="shared" ref="C99:AH99" si="119">SUMIF(C65,"=1",C49)</f>
        <v>0</v>
      </c>
      <c r="D99" s="17">
        <f t="shared" si="119"/>
        <v>0</v>
      </c>
      <c r="E99" s="17">
        <f t="shared" si="119"/>
        <v>0</v>
      </c>
      <c r="F99" s="17">
        <f t="shared" si="119"/>
        <v>0</v>
      </c>
      <c r="G99" s="17">
        <f t="shared" si="119"/>
        <v>0</v>
      </c>
      <c r="H99" s="17">
        <f t="shared" si="119"/>
        <v>0</v>
      </c>
      <c r="I99" s="17">
        <f t="shared" si="119"/>
        <v>0</v>
      </c>
      <c r="J99" s="17">
        <f t="shared" si="119"/>
        <v>0</v>
      </c>
      <c r="K99" s="17">
        <f t="shared" si="119"/>
        <v>0</v>
      </c>
      <c r="L99" s="17">
        <f t="shared" si="119"/>
        <v>0</v>
      </c>
      <c r="M99" s="17">
        <f t="shared" si="119"/>
        <v>0</v>
      </c>
      <c r="N99" s="17">
        <f t="shared" si="119"/>
        <v>0</v>
      </c>
      <c r="O99" s="17">
        <f t="shared" si="119"/>
        <v>0</v>
      </c>
      <c r="P99" s="17">
        <f t="shared" si="119"/>
        <v>0</v>
      </c>
      <c r="Q99" s="17">
        <f t="shared" si="119"/>
        <v>0</v>
      </c>
      <c r="R99" s="17">
        <f t="shared" si="119"/>
        <v>0</v>
      </c>
      <c r="S99" s="17">
        <f t="shared" si="119"/>
        <v>0</v>
      </c>
      <c r="T99" s="17">
        <f t="shared" si="119"/>
        <v>0</v>
      </c>
      <c r="U99" s="17">
        <f t="shared" si="119"/>
        <v>0</v>
      </c>
      <c r="V99" s="17">
        <f t="shared" si="119"/>
        <v>0</v>
      </c>
      <c r="W99" s="17">
        <f t="shared" si="119"/>
        <v>0</v>
      </c>
      <c r="X99" s="17">
        <f t="shared" si="119"/>
        <v>0</v>
      </c>
      <c r="Y99" s="17">
        <f t="shared" si="119"/>
        <v>0</v>
      </c>
      <c r="Z99" s="17">
        <f t="shared" si="119"/>
        <v>0</v>
      </c>
      <c r="AA99" s="17">
        <f t="shared" si="119"/>
        <v>0</v>
      </c>
      <c r="AB99" s="17">
        <f t="shared" si="119"/>
        <v>0</v>
      </c>
      <c r="AC99" s="17">
        <f t="shared" si="119"/>
        <v>0</v>
      </c>
      <c r="AD99" s="17">
        <f t="shared" si="119"/>
        <v>0</v>
      </c>
      <c r="AE99" s="17">
        <f t="shared" si="119"/>
        <v>0</v>
      </c>
      <c r="AF99" s="17">
        <f t="shared" si="119"/>
        <v>0</v>
      </c>
      <c r="AG99" s="17">
        <f t="shared" si="119"/>
        <v>0</v>
      </c>
      <c r="AH99" s="17">
        <f t="shared" si="119"/>
        <v>0</v>
      </c>
      <c r="AI99" s="17">
        <f t="shared" ref="AI99:BB99" si="120">SUMIF(AI65,"=1",AI49)</f>
        <v>0</v>
      </c>
      <c r="AJ99" s="17">
        <f t="shared" si="120"/>
        <v>0</v>
      </c>
      <c r="AK99" s="17">
        <f t="shared" si="120"/>
        <v>0</v>
      </c>
      <c r="AL99" s="17">
        <f t="shared" si="120"/>
        <v>0</v>
      </c>
      <c r="AM99" s="17">
        <f t="shared" si="120"/>
        <v>0</v>
      </c>
      <c r="AN99" s="17">
        <f t="shared" si="120"/>
        <v>0</v>
      </c>
      <c r="AO99" s="17">
        <f t="shared" si="120"/>
        <v>0</v>
      </c>
      <c r="AP99" s="17">
        <f t="shared" si="120"/>
        <v>0</v>
      </c>
      <c r="AQ99" s="17">
        <f t="shared" si="120"/>
        <v>0</v>
      </c>
      <c r="AR99" s="17">
        <f t="shared" si="120"/>
        <v>0</v>
      </c>
      <c r="AS99" s="17">
        <f t="shared" si="120"/>
        <v>0</v>
      </c>
      <c r="AT99" s="17">
        <f t="shared" si="120"/>
        <v>0</v>
      </c>
      <c r="AU99" s="17">
        <f t="shared" si="120"/>
        <v>0</v>
      </c>
      <c r="AV99" s="17">
        <f t="shared" si="120"/>
        <v>0</v>
      </c>
      <c r="AW99" s="17">
        <f t="shared" si="120"/>
        <v>0</v>
      </c>
      <c r="AX99" s="17">
        <f t="shared" si="120"/>
        <v>0</v>
      </c>
      <c r="AY99" s="17">
        <f t="shared" si="120"/>
        <v>0</v>
      </c>
      <c r="AZ99" s="17">
        <f t="shared" si="120"/>
        <v>0</v>
      </c>
      <c r="BA99" s="17">
        <f t="shared" si="120"/>
        <v>0</v>
      </c>
      <c r="BB99" s="17">
        <f t="shared" si="120"/>
        <v>0</v>
      </c>
      <c r="BC99" s="17">
        <f t="shared" ref="BC99:BK99" ca="1" si="121">IF(BC65=0,0,IF(BC72=BC46,0,BC49))</f>
        <v>0</v>
      </c>
      <c r="BD99" s="17">
        <f t="shared" ca="1" si="121"/>
        <v>0</v>
      </c>
      <c r="BE99" s="17">
        <f t="shared" ca="1" si="121"/>
        <v>0</v>
      </c>
      <c r="BF99" s="17">
        <f t="shared" ca="1" si="121"/>
        <v>0</v>
      </c>
      <c r="BG99" s="17">
        <f t="shared" ca="1" si="121"/>
        <v>0</v>
      </c>
      <c r="BH99" s="17">
        <f t="shared" ca="1" si="121"/>
        <v>0</v>
      </c>
      <c r="BI99" s="17">
        <f t="shared" ca="1" si="121"/>
        <v>0</v>
      </c>
      <c r="BJ99" s="17">
        <f t="shared" ca="1" si="121"/>
        <v>0</v>
      </c>
      <c r="BK99" s="17">
        <f t="shared" ca="1" si="121"/>
        <v>0</v>
      </c>
    </row>
    <row r="100" spans="1:63">
      <c r="A100" t="s">
        <v>247</v>
      </c>
      <c r="B100" s="31">
        <f>Inputs!R96</f>
        <v>36</v>
      </c>
      <c r="C100" s="17">
        <f t="shared" ref="C100:AH100" si="122">IF(C8=$B$100,$B$60,0)</f>
        <v>0</v>
      </c>
      <c r="D100" s="17">
        <f t="shared" si="122"/>
        <v>0</v>
      </c>
      <c r="E100" s="17">
        <f t="shared" si="122"/>
        <v>0</v>
      </c>
      <c r="F100" s="17">
        <f t="shared" si="122"/>
        <v>0</v>
      </c>
      <c r="G100" s="17">
        <f t="shared" si="122"/>
        <v>0</v>
      </c>
      <c r="H100" s="17">
        <f t="shared" si="122"/>
        <v>0</v>
      </c>
      <c r="I100" s="17">
        <f t="shared" si="122"/>
        <v>0</v>
      </c>
      <c r="J100" s="17">
        <f t="shared" si="122"/>
        <v>0</v>
      </c>
      <c r="K100" s="17">
        <f t="shared" si="122"/>
        <v>0</v>
      </c>
      <c r="L100" s="17">
        <f t="shared" si="122"/>
        <v>0</v>
      </c>
      <c r="M100" s="17">
        <f t="shared" si="122"/>
        <v>0</v>
      </c>
      <c r="N100" s="17">
        <f t="shared" si="122"/>
        <v>0</v>
      </c>
      <c r="O100" s="17">
        <f t="shared" si="122"/>
        <v>0</v>
      </c>
      <c r="P100" s="17">
        <f t="shared" si="122"/>
        <v>0</v>
      </c>
      <c r="Q100" s="17">
        <f t="shared" si="122"/>
        <v>0</v>
      </c>
      <c r="R100" s="17">
        <f t="shared" si="122"/>
        <v>0</v>
      </c>
      <c r="S100" s="17">
        <f t="shared" si="122"/>
        <v>0</v>
      </c>
      <c r="T100" s="17">
        <f t="shared" si="122"/>
        <v>0</v>
      </c>
      <c r="U100" s="17">
        <f t="shared" si="122"/>
        <v>0</v>
      </c>
      <c r="V100" s="17">
        <f t="shared" si="122"/>
        <v>0</v>
      </c>
      <c r="W100" s="17">
        <f t="shared" si="122"/>
        <v>0</v>
      </c>
      <c r="X100" s="17">
        <f t="shared" si="122"/>
        <v>0</v>
      </c>
      <c r="Y100" s="17">
        <f t="shared" si="122"/>
        <v>0</v>
      </c>
      <c r="Z100" s="17">
        <f t="shared" si="122"/>
        <v>0</v>
      </c>
      <c r="AA100" s="17">
        <f t="shared" si="122"/>
        <v>0</v>
      </c>
      <c r="AB100" s="17">
        <f t="shared" si="122"/>
        <v>0</v>
      </c>
      <c r="AC100" s="17">
        <f t="shared" si="122"/>
        <v>0</v>
      </c>
      <c r="AD100" s="17">
        <f t="shared" si="122"/>
        <v>0</v>
      </c>
      <c r="AE100" s="17">
        <f t="shared" si="122"/>
        <v>0</v>
      </c>
      <c r="AF100" s="17">
        <f t="shared" si="122"/>
        <v>0</v>
      </c>
      <c r="AG100" s="17">
        <f t="shared" si="122"/>
        <v>0</v>
      </c>
      <c r="AH100" s="17">
        <f t="shared" si="122"/>
        <v>0</v>
      </c>
      <c r="AI100" s="17">
        <f t="shared" ref="AI100:BK100" si="123">IF(AI8=$B$100,$B$60,0)</f>
        <v>0</v>
      </c>
      <c r="AJ100" s="17">
        <f t="shared" si="123"/>
        <v>0</v>
      </c>
      <c r="AK100" s="17">
        <f t="shared" si="123"/>
        <v>0</v>
      </c>
      <c r="AL100" s="17">
        <f t="shared" si="123"/>
        <v>0</v>
      </c>
      <c r="AM100" s="17">
        <f t="shared" ca="1" si="123"/>
        <v>-194.88947528585683</v>
      </c>
      <c r="AN100" s="17">
        <f t="shared" si="123"/>
        <v>0</v>
      </c>
      <c r="AO100" s="17">
        <f t="shared" si="123"/>
        <v>0</v>
      </c>
      <c r="AP100" s="17">
        <f t="shared" si="123"/>
        <v>0</v>
      </c>
      <c r="AQ100" s="17">
        <f t="shared" si="123"/>
        <v>0</v>
      </c>
      <c r="AR100" s="17">
        <f t="shared" si="123"/>
        <v>0</v>
      </c>
      <c r="AS100" s="17">
        <f t="shared" si="123"/>
        <v>0</v>
      </c>
      <c r="AT100" s="17">
        <f t="shared" si="123"/>
        <v>0</v>
      </c>
      <c r="AU100" s="17">
        <f t="shared" si="123"/>
        <v>0</v>
      </c>
      <c r="AV100" s="17">
        <f t="shared" si="123"/>
        <v>0</v>
      </c>
      <c r="AW100" s="17">
        <f t="shared" si="123"/>
        <v>0</v>
      </c>
      <c r="AX100" s="17">
        <f t="shared" si="123"/>
        <v>0</v>
      </c>
      <c r="AY100" s="17">
        <f t="shared" si="123"/>
        <v>0</v>
      </c>
      <c r="AZ100" s="17">
        <f t="shared" si="123"/>
        <v>0</v>
      </c>
      <c r="BA100" s="17">
        <f t="shared" si="123"/>
        <v>0</v>
      </c>
      <c r="BB100" s="17">
        <f t="shared" si="123"/>
        <v>0</v>
      </c>
      <c r="BC100" s="17">
        <f t="shared" si="123"/>
        <v>0</v>
      </c>
      <c r="BD100" s="17">
        <f t="shared" si="123"/>
        <v>0</v>
      </c>
      <c r="BE100" s="17">
        <f t="shared" si="123"/>
        <v>0</v>
      </c>
      <c r="BF100" s="17">
        <f t="shared" si="123"/>
        <v>0</v>
      </c>
      <c r="BG100" s="17">
        <f t="shared" si="123"/>
        <v>0</v>
      </c>
      <c r="BH100" s="17">
        <f t="shared" si="123"/>
        <v>0</v>
      </c>
      <c r="BI100" s="17">
        <f t="shared" si="123"/>
        <v>0</v>
      </c>
      <c r="BJ100" s="17">
        <f t="shared" si="123"/>
        <v>0</v>
      </c>
      <c r="BK100" s="17">
        <f t="shared" si="123"/>
        <v>0</v>
      </c>
    </row>
    <row r="101" spans="1:63">
      <c r="A101" t="s">
        <v>248</v>
      </c>
      <c r="B101" s="31">
        <f>Inputs!R96</f>
        <v>36</v>
      </c>
      <c r="C101" s="17">
        <f>IF(C8=$B$101,SUM($C46:C$46),0)</f>
        <v>0</v>
      </c>
      <c r="D101" s="17">
        <f>IF(D8=$B$101,SUM($C46:D$46),0)</f>
        <v>0</v>
      </c>
      <c r="E101" s="17">
        <f>IF(E8=$B$101,SUM($C46:E$46),0)</f>
        <v>0</v>
      </c>
      <c r="F101" s="17">
        <f>IF(F8=$B$101,SUM($C46:F$46),0)</f>
        <v>0</v>
      </c>
      <c r="G101" s="17">
        <f>IF(G8=$B$101,SUM($C46:G$46),0)</f>
        <v>0</v>
      </c>
      <c r="H101" s="17">
        <f>IF(H8=$B$101,SUM($C46:H$46),0)</f>
        <v>0</v>
      </c>
      <c r="I101" s="17">
        <f>IF(I8=$B$101,SUM($C46:I$46),0)</f>
        <v>0</v>
      </c>
      <c r="J101" s="17">
        <f>IF(J8=$B$101,SUM($C46:J$46),0)</f>
        <v>0</v>
      </c>
      <c r="K101" s="17">
        <f>IF(K8=$B$101,SUM($C46:K$46),0)</f>
        <v>0</v>
      </c>
      <c r="L101" s="17">
        <f>IF(L8=$B$101,SUM($C46:L$46),0)</f>
        <v>0</v>
      </c>
      <c r="M101" s="17">
        <f>IF(M8=$B$101,SUM($C46:M$46),0)</f>
        <v>0</v>
      </c>
      <c r="N101" s="17">
        <f>IF(N8=$B$101,SUM($C46:N$46),0)</f>
        <v>0</v>
      </c>
      <c r="O101" s="17">
        <f>IF(O8=$B$101,SUM($C46:O$46),0)</f>
        <v>0</v>
      </c>
      <c r="P101" s="17">
        <f>IF(P8=$B$101,SUM($C46:P$46),0)</f>
        <v>0</v>
      </c>
      <c r="Q101" s="17">
        <f>IF(Q8=$B$101,SUM($C46:Q$46),0)</f>
        <v>0</v>
      </c>
      <c r="R101" s="17">
        <f>IF(R8=$B$101,SUM($C46:R$46),0)</f>
        <v>0</v>
      </c>
      <c r="S101" s="17">
        <f>IF(S8=$B$101,SUM($C46:S$46),0)</f>
        <v>0</v>
      </c>
      <c r="T101" s="17">
        <f>IF(T8=$B$101,SUM($C46:T$46),0)</f>
        <v>0</v>
      </c>
      <c r="U101" s="17">
        <f>IF(U8=$B$101,SUM($C46:U$46),0)</f>
        <v>0</v>
      </c>
      <c r="V101" s="17">
        <f>IF(V8=$B$101,SUM($C46:V$46),0)</f>
        <v>0</v>
      </c>
      <c r="W101" s="17">
        <f>IF(W8=$B$101,SUM($C46:W$46),0)</f>
        <v>0</v>
      </c>
      <c r="X101" s="17">
        <f>IF(X8=$B$101,SUM($C46:X$46),0)</f>
        <v>0</v>
      </c>
      <c r="Y101" s="17">
        <f>IF(Y8=$B$101,SUM($C46:Y$46),0)</f>
        <v>0</v>
      </c>
      <c r="Z101" s="17">
        <f>IF(Z8=$B$101,SUM($C46:Z$46),0)</f>
        <v>0</v>
      </c>
      <c r="AA101" s="17">
        <f>IF(AA8=$B$101,SUM($C46:AA$46),0)</f>
        <v>0</v>
      </c>
      <c r="AB101" s="17">
        <f>IF(AB8=$B$101,SUM($C46:AB$46),0)</f>
        <v>0</v>
      </c>
      <c r="AC101" s="17">
        <f>IF(AC8=$B$101,SUM($C46:AC$46),0)</f>
        <v>0</v>
      </c>
      <c r="AD101" s="17">
        <f>IF(AD8=$B$101,SUM($C46:AD$46),0)</f>
        <v>0</v>
      </c>
      <c r="AE101" s="17">
        <f>IF(AE8=$B$101,SUM($C46:AE$46),0)</f>
        <v>0</v>
      </c>
      <c r="AF101" s="17">
        <f>IF(AF8=$B$101,SUM($C46:AF$46),0)</f>
        <v>0</v>
      </c>
      <c r="AG101" s="17">
        <f>IF(AG8=$B$101,SUM($C46:AG$46),0)</f>
        <v>0</v>
      </c>
      <c r="AH101" s="17">
        <f>IF(AH8=$B$101,SUM($C46:AH$46),0)</f>
        <v>0</v>
      </c>
      <c r="AI101" s="17">
        <f>IF(AI8=$B$101,SUM($C46:AI$46),0)</f>
        <v>0</v>
      </c>
      <c r="AJ101" s="17">
        <f>IF(AJ8=$B$101,SUM($C46:AJ$46),0)</f>
        <v>0</v>
      </c>
      <c r="AK101" s="17">
        <f>IF(AK8=$B$101,SUM($C46:AK$46),0)</f>
        <v>0</v>
      </c>
      <c r="AL101" s="17">
        <f>IF(AL8=$B$101,SUM($C46:AL$46),0)</f>
        <v>0</v>
      </c>
      <c r="AM101" s="17">
        <f ca="1">IF(AM8=$B$101,SUM($C46:AM$46),0)</f>
        <v>-20899582.329023048</v>
      </c>
      <c r="AN101" s="17">
        <f>IF(AN8=$B$101,SUM($C46:AN$46),0)</f>
        <v>0</v>
      </c>
      <c r="AO101" s="17">
        <f>IF(AO8=$B$101,SUM($C46:AO$46),0)</f>
        <v>0</v>
      </c>
      <c r="AP101" s="17">
        <f>IF(AP8=$B$101,SUM($C46:AP$46),0)</f>
        <v>0</v>
      </c>
      <c r="AQ101" s="17">
        <f>IF(AQ8=$B$101,SUM($C46:AQ$46),0)</f>
        <v>0</v>
      </c>
      <c r="AR101" s="17">
        <f>IF(AR8=$B$101,SUM($C46:AR$46),0)</f>
        <v>0</v>
      </c>
      <c r="AS101" s="17">
        <f>IF(AS8=$B$101,SUM($C46:AS$46),0)</f>
        <v>0</v>
      </c>
      <c r="AT101" s="17">
        <f>IF(AT8=$B$101,SUM($C46:AT$46),0)</f>
        <v>0</v>
      </c>
      <c r="AU101" s="17">
        <f>IF(AU8=$B$101,SUM($C46:AU$46),0)</f>
        <v>0</v>
      </c>
      <c r="AV101" s="17">
        <f>IF(AV8=$B$101,SUM($C46:AV$46),0)</f>
        <v>0</v>
      </c>
      <c r="AW101" s="17">
        <f>IF(AW8=$B$101,SUM($C46:AW$46),0)</f>
        <v>0</v>
      </c>
      <c r="AX101" s="17">
        <f>IF(AX8=$B$101,SUM($C46:AX$46),0)</f>
        <v>0</v>
      </c>
      <c r="AY101" s="17">
        <f>IF(AY8=$B$101,SUM($C46:AY$46),0)</f>
        <v>0</v>
      </c>
      <c r="AZ101" s="17">
        <f>IF(AZ8=$B$101,SUM($C46:AZ$46),0)</f>
        <v>0</v>
      </c>
      <c r="BA101" s="17">
        <f>IF(BA8=$B$101,SUM($C46:BA$46),0)</f>
        <v>0</v>
      </c>
      <c r="BB101" s="17">
        <f>IF(BB8=$B$101,SUM($C46:BB$46),0)</f>
        <v>0</v>
      </c>
      <c r="BC101" s="17">
        <f>IF(BC8=$B$101,SUM($C46:BC$46),0)</f>
        <v>0</v>
      </c>
      <c r="BD101" s="17">
        <f>IF(BD8=$B$101,SUM($C46:BD$46),0)</f>
        <v>0</v>
      </c>
      <c r="BE101" s="17">
        <f>IF(BE8=$B$101,SUM($C46:BE$46),0)</f>
        <v>0</v>
      </c>
      <c r="BF101" s="17">
        <f>IF(BF8=$B$101,SUM($C46:BF$46),0)</f>
        <v>0</v>
      </c>
      <c r="BG101" s="17">
        <f>IF(BG8=$B$101,SUM($C46:BG$46),0)</f>
        <v>0</v>
      </c>
      <c r="BH101" s="17">
        <f>IF(BH8=$B$101,SUM($C46:BH$46),0)</f>
        <v>0</v>
      </c>
      <c r="BI101" s="17">
        <f>IF(BI8=$B$101,SUM($C46:BI$46),0)</f>
        <v>0</v>
      </c>
      <c r="BJ101" s="17">
        <f>IF(BJ8=$B$101,SUM($C46:BJ$46),0)</f>
        <v>0</v>
      </c>
      <c r="BK101" s="17">
        <f>IF(BK8=$B$101,SUM($C46:BK$46),0)</f>
        <v>0</v>
      </c>
    </row>
    <row r="102" spans="1:63">
      <c r="A102" s="52" t="s">
        <v>249</v>
      </c>
      <c r="B102" s="37"/>
      <c r="C102" s="38">
        <f ca="1">SUM(C96:C101)</f>
        <v>-5329076.0731086107</v>
      </c>
      <c r="D102" s="38">
        <f t="shared" ref="D102:BK102" ca="1" si="124">SUM(D96:D101)</f>
        <v>-120080</v>
      </c>
      <c r="E102" s="38">
        <f t="shared" ca="1" si="124"/>
        <v>-120080</v>
      </c>
      <c r="F102" s="38">
        <f t="shared" ca="1" si="124"/>
        <v>-120080</v>
      </c>
      <c r="G102" s="38">
        <f t="shared" ca="1" si="124"/>
        <v>-120080</v>
      </c>
      <c r="H102" s="38">
        <f t="shared" ca="1" si="124"/>
        <v>-120080</v>
      </c>
      <c r="I102" s="38">
        <f t="shared" ca="1" si="124"/>
        <v>-120080</v>
      </c>
      <c r="J102" s="38">
        <f t="shared" ca="1" si="124"/>
        <v>-1520080</v>
      </c>
      <c r="K102" s="38">
        <f t="shared" ca="1" si="124"/>
        <v>-1520080</v>
      </c>
      <c r="L102" s="38">
        <f t="shared" ca="1" si="124"/>
        <v>-1520080</v>
      </c>
      <c r="M102" s="38">
        <f t="shared" ca="1" si="124"/>
        <v>-1520080</v>
      </c>
      <c r="N102" s="38">
        <f t="shared" ca="1" si="124"/>
        <v>-1520080</v>
      </c>
      <c r="O102" s="38">
        <f t="shared" ca="1" si="124"/>
        <v>-283117.04354299605</v>
      </c>
      <c r="P102" s="38">
        <f t="shared" ca="1" si="124"/>
        <v>0</v>
      </c>
      <c r="Q102" s="38">
        <f t="shared" ca="1" si="124"/>
        <v>0</v>
      </c>
      <c r="R102" s="38">
        <f t="shared" ca="1" si="124"/>
        <v>0</v>
      </c>
      <c r="S102" s="38">
        <f t="shared" ca="1" si="124"/>
        <v>0</v>
      </c>
      <c r="T102" s="38">
        <f t="shared" ca="1" si="124"/>
        <v>0</v>
      </c>
      <c r="U102" s="38">
        <f t="shared" ca="1" si="124"/>
        <v>0</v>
      </c>
      <c r="V102" s="38">
        <f t="shared" ca="1" si="124"/>
        <v>0</v>
      </c>
      <c r="W102" s="38">
        <f t="shared" ca="1" si="124"/>
        <v>0</v>
      </c>
      <c r="X102" s="38">
        <f t="shared" ca="1" si="124"/>
        <v>0</v>
      </c>
      <c r="Y102" s="38">
        <f t="shared" ca="1" si="124"/>
        <v>0</v>
      </c>
      <c r="Z102" s="38">
        <f t="shared" ca="1" si="124"/>
        <v>0</v>
      </c>
      <c r="AA102" s="38">
        <f t="shared" ca="1" si="124"/>
        <v>0</v>
      </c>
      <c r="AB102" s="38">
        <f t="shared" ca="1" si="124"/>
        <v>17060.027430078109</v>
      </c>
      <c r="AC102" s="38">
        <f t="shared" ca="1" si="124"/>
        <v>34120.054860156219</v>
      </c>
      <c r="AD102" s="38">
        <f t="shared" ca="1" si="124"/>
        <v>51180.082290234335</v>
      </c>
      <c r="AE102" s="38">
        <f t="shared" ca="1" si="124"/>
        <v>68240.109720312437</v>
      </c>
      <c r="AF102" s="38">
        <f t="shared" ca="1" si="124"/>
        <v>85300.137150390568</v>
      </c>
      <c r="AG102" s="38">
        <f t="shared" ca="1" si="124"/>
        <v>102360.16458046864</v>
      </c>
      <c r="AH102" s="38">
        <f t="shared" ca="1" si="124"/>
        <v>119420.19201054671</v>
      </c>
      <c r="AI102" s="38">
        <f t="shared" ca="1" si="124"/>
        <v>136480.21944062487</v>
      </c>
      <c r="AJ102" s="38">
        <f t="shared" ca="1" si="124"/>
        <v>153540.24687070301</v>
      </c>
      <c r="AK102" s="38">
        <f t="shared" ca="1" si="124"/>
        <v>170600.27430078102</v>
      </c>
      <c r="AL102" s="38">
        <f t="shared" ca="1" si="124"/>
        <v>187660.30173085921</v>
      </c>
      <c r="AM102" s="38">
        <f t="shared" ca="1" si="124"/>
        <v>20291012.043222219</v>
      </c>
      <c r="AN102" s="38">
        <f t="shared" ca="1" si="124"/>
        <v>0</v>
      </c>
      <c r="AO102" s="38">
        <f t="shared" ca="1" si="124"/>
        <v>0</v>
      </c>
      <c r="AP102" s="38">
        <f t="shared" ca="1" si="124"/>
        <v>0</v>
      </c>
      <c r="AQ102" s="38">
        <f t="shared" ca="1" si="124"/>
        <v>0</v>
      </c>
      <c r="AR102" s="38">
        <f t="shared" ca="1" si="124"/>
        <v>0</v>
      </c>
      <c r="AS102" s="38">
        <f t="shared" ca="1" si="124"/>
        <v>0</v>
      </c>
      <c r="AT102" s="38">
        <f t="shared" ca="1" si="124"/>
        <v>0</v>
      </c>
      <c r="AU102" s="38">
        <f t="shared" ca="1" si="124"/>
        <v>0</v>
      </c>
      <c r="AV102" s="38">
        <f t="shared" ca="1" si="124"/>
        <v>0</v>
      </c>
      <c r="AW102" s="38">
        <f t="shared" ca="1" si="124"/>
        <v>0</v>
      </c>
      <c r="AX102" s="38">
        <f t="shared" ca="1" si="124"/>
        <v>0</v>
      </c>
      <c r="AY102" s="38">
        <f t="shared" ca="1" si="124"/>
        <v>0</v>
      </c>
      <c r="AZ102" s="38">
        <f t="shared" ca="1" si="124"/>
        <v>0</v>
      </c>
      <c r="BA102" s="38">
        <f t="shared" ca="1" si="124"/>
        <v>0</v>
      </c>
      <c r="BB102" s="38">
        <f t="shared" ca="1" si="124"/>
        <v>0</v>
      </c>
      <c r="BC102" s="38">
        <f t="shared" ca="1" si="124"/>
        <v>0</v>
      </c>
      <c r="BD102" s="38">
        <f t="shared" ca="1" si="124"/>
        <v>0</v>
      </c>
      <c r="BE102" s="38">
        <f t="shared" ca="1" si="124"/>
        <v>0</v>
      </c>
      <c r="BF102" s="38">
        <f t="shared" ca="1" si="124"/>
        <v>0</v>
      </c>
      <c r="BG102" s="38">
        <f t="shared" ca="1" si="124"/>
        <v>0</v>
      </c>
      <c r="BH102" s="38">
        <f t="shared" ca="1" si="124"/>
        <v>0</v>
      </c>
      <c r="BI102" s="38">
        <f t="shared" ca="1" si="124"/>
        <v>0</v>
      </c>
      <c r="BJ102" s="38">
        <f t="shared" ca="1" si="124"/>
        <v>0</v>
      </c>
      <c r="BK102" s="38">
        <f t="shared" ca="1" si="124"/>
        <v>0</v>
      </c>
    </row>
    <row r="104" spans="1:63">
      <c r="A104" s="10" t="s">
        <v>180</v>
      </c>
      <c r="B104" s="1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</row>
    <row r="105" spans="1:63">
      <c r="A105" s="39" t="s">
        <v>181</v>
      </c>
      <c r="B105" s="40">
        <f ca="1">XIRR(C102:BK102, $C$7:$BK$7)</f>
        <v>0.18366263508796693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</row>
    <row r="106" spans="1:63">
      <c r="A106" s="41" t="s">
        <v>178</v>
      </c>
      <c r="B106" s="42">
        <f ca="1">SUMIF(C102:BK102, "&gt;0")/-SUMIF(C102:BK102, "&lt;0")</f>
        <v>1.5371320938531254</v>
      </c>
    </row>
    <row r="107" spans="1:63">
      <c r="A107" s="43" t="s">
        <v>179</v>
      </c>
      <c r="B107" s="45">
        <f ca="1">SUM(C102:BK102)</f>
        <v>7483900.7369557638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66C6-F95D-4139-A3E8-81179B75C24D}">
  <dimension ref="A1:F31"/>
  <sheetViews>
    <sheetView workbookViewId="0">
      <selection activeCell="G33" sqref="G33"/>
    </sheetView>
  </sheetViews>
  <sheetFormatPr baseColWidth="10" defaultColWidth="8.83203125" defaultRowHeight="15"/>
  <cols>
    <col min="1" max="1" width="17.5" bestFit="1" customWidth="1"/>
    <col min="2" max="2" width="14.33203125" bestFit="1" customWidth="1"/>
    <col min="4" max="4" width="11.83203125" customWidth="1"/>
    <col min="6" max="6" width="11.5" bestFit="1" customWidth="1"/>
  </cols>
  <sheetData>
    <row r="1" spans="1:6">
      <c r="A1" s="10" t="s">
        <v>251</v>
      </c>
    </row>
    <row r="2" spans="1:6">
      <c r="A2" t="s">
        <v>252</v>
      </c>
      <c r="B2" t="s">
        <v>253</v>
      </c>
    </row>
    <row r="3" spans="1:6">
      <c r="A3" t="s">
        <v>254</v>
      </c>
      <c r="B3" t="s">
        <v>255</v>
      </c>
    </row>
    <row r="4" spans="1:6">
      <c r="A4" t="s">
        <v>189</v>
      </c>
      <c r="B4">
        <v>2024</v>
      </c>
    </row>
    <row r="5" spans="1:6">
      <c r="A5" t="s">
        <v>256</v>
      </c>
      <c r="B5" s="7">
        <v>58035113</v>
      </c>
      <c r="C5" t="s">
        <v>257</v>
      </c>
      <c r="D5" s="30">
        <f>B5*0.2524</f>
        <v>14648062.521200001</v>
      </c>
      <c r="E5" t="s">
        <v>258</v>
      </c>
    </row>
    <row r="6" spans="1:6">
      <c r="A6" t="s">
        <v>80</v>
      </c>
      <c r="B6" s="7">
        <v>6978</v>
      </c>
      <c r="C6" t="s">
        <v>259</v>
      </c>
      <c r="D6" s="30">
        <f>B6*10.764</f>
        <v>75111.191999999995</v>
      </c>
      <c r="E6" t="s">
        <v>260</v>
      </c>
    </row>
    <row r="7" spans="1:6">
      <c r="A7" t="s">
        <v>261</v>
      </c>
      <c r="B7" s="7"/>
      <c r="D7" s="30">
        <f>D5/D6</f>
        <v>195.01837384234298</v>
      </c>
      <c r="E7" t="s">
        <v>262</v>
      </c>
    </row>
    <row r="8" spans="1:6">
      <c r="D8" s="30"/>
    </row>
    <row r="9" spans="1:6">
      <c r="A9" t="s">
        <v>263</v>
      </c>
      <c r="B9" s="7">
        <v>665080.92000000004</v>
      </c>
      <c r="C9" t="s">
        <v>257</v>
      </c>
      <c r="D9" s="30">
        <f t="shared" ref="D9:D18" si="0">B9*0.2524</f>
        <v>167866.42420800001</v>
      </c>
      <c r="E9" t="s">
        <v>258</v>
      </c>
      <c r="F9" s="30"/>
    </row>
    <row r="10" spans="1:6">
      <c r="A10" t="s">
        <v>264</v>
      </c>
      <c r="B10" s="7">
        <v>166597.68000000002</v>
      </c>
      <c r="C10" t="s">
        <v>257</v>
      </c>
      <c r="D10" s="30">
        <f t="shared" si="0"/>
        <v>42049.254432000009</v>
      </c>
      <c r="E10" t="s">
        <v>258</v>
      </c>
      <c r="F10" s="30"/>
    </row>
    <row r="11" spans="1:6">
      <c r="A11" t="s">
        <v>265</v>
      </c>
      <c r="B11" s="7">
        <v>11479429.080000002</v>
      </c>
      <c r="C11" t="s">
        <v>257</v>
      </c>
      <c r="D11" s="30">
        <f t="shared" si="0"/>
        <v>2897407.8997920007</v>
      </c>
      <c r="E11" t="s">
        <v>258</v>
      </c>
      <c r="F11" s="30"/>
    </row>
    <row r="12" spans="1:6">
      <c r="A12" t="s">
        <v>266</v>
      </c>
      <c r="B12" s="7">
        <v>29902857.210000001</v>
      </c>
      <c r="C12" t="s">
        <v>257</v>
      </c>
      <c r="D12" s="30">
        <f t="shared" si="0"/>
        <v>7547481.1598040005</v>
      </c>
      <c r="E12" t="s">
        <v>258</v>
      </c>
      <c r="F12" s="30"/>
    </row>
    <row r="13" spans="1:6">
      <c r="A13" t="s">
        <v>267</v>
      </c>
      <c r="B13" s="7">
        <v>3373790.6100000003</v>
      </c>
      <c r="C13" t="s">
        <v>257</v>
      </c>
      <c r="D13" s="30">
        <f t="shared" si="0"/>
        <v>851544.74996400008</v>
      </c>
      <c r="E13" t="s">
        <v>258</v>
      </c>
      <c r="F13" s="30"/>
    </row>
    <row r="14" spans="1:6">
      <c r="A14" t="s">
        <v>268</v>
      </c>
      <c r="B14" s="7">
        <v>2475886.08</v>
      </c>
      <c r="C14" t="s">
        <v>257</v>
      </c>
      <c r="D14" s="30">
        <f t="shared" si="0"/>
        <v>624913.64659200003</v>
      </c>
      <c r="E14" t="s">
        <v>258</v>
      </c>
      <c r="F14" s="30"/>
    </row>
    <row r="15" spans="1:6">
      <c r="A15" t="s">
        <v>269</v>
      </c>
      <c r="B15" s="7">
        <v>302104.26</v>
      </c>
      <c r="C15" t="s">
        <v>257</v>
      </c>
      <c r="D15" s="30">
        <f t="shared" si="0"/>
        <v>76251.115224000008</v>
      </c>
      <c r="E15" t="s">
        <v>258</v>
      </c>
      <c r="F15" s="30"/>
    </row>
    <row r="16" spans="1:6">
      <c r="A16" t="s">
        <v>270</v>
      </c>
      <c r="B16" s="7">
        <v>4106653.68</v>
      </c>
      <c r="C16" t="s">
        <v>257</v>
      </c>
      <c r="D16" s="30">
        <f t="shared" si="0"/>
        <v>1036519.3888320001</v>
      </c>
      <c r="E16" t="s">
        <v>258</v>
      </c>
      <c r="F16" s="438"/>
    </row>
    <row r="17" spans="1:6">
      <c r="A17" t="s">
        <v>271</v>
      </c>
      <c r="B17" s="7">
        <v>2204224.6800000002</v>
      </c>
      <c r="C17" t="s">
        <v>257</v>
      </c>
      <c r="D17" s="30">
        <f t="shared" si="0"/>
        <v>556346.30923200003</v>
      </c>
      <c r="E17" t="s">
        <v>258</v>
      </c>
      <c r="F17" s="30"/>
    </row>
    <row r="18" spans="1:6">
      <c r="A18" t="s">
        <v>272</v>
      </c>
      <c r="B18" s="7">
        <f>3407089.5-48000</f>
        <v>3359089.5</v>
      </c>
      <c r="C18" t="s">
        <v>257</v>
      </c>
      <c r="D18" s="30">
        <f t="shared" si="0"/>
        <v>847834.18980000005</v>
      </c>
      <c r="E18" t="s">
        <v>258</v>
      </c>
      <c r="F18" s="30"/>
    </row>
    <row r="19" spans="1:6">
      <c r="B19" s="7"/>
      <c r="D19" s="30"/>
      <c r="F19" s="30"/>
    </row>
    <row r="20" spans="1:6">
      <c r="A20" t="s">
        <v>273</v>
      </c>
      <c r="B20" s="436">
        <f>SUM(D9:D12,D15,D17:D18)/D6</f>
        <v>161.56362360075448</v>
      </c>
      <c r="C20" t="s">
        <v>262</v>
      </c>
      <c r="D20" s="30"/>
      <c r="F20" s="30"/>
    </row>
    <row r="21" spans="1:6">
      <c r="A21" t="s">
        <v>268</v>
      </c>
      <c r="B21" s="436">
        <f>D14/D6</f>
        <v>8.3198472817739351</v>
      </c>
      <c r="C21" t="s">
        <v>262</v>
      </c>
      <c r="D21" s="30"/>
      <c r="F21" s="30"/>
    </row>
    <row r="22" spans="1:6">
      <c r="A22" t="s">
        <v>274</v>
      </c>
      <c r="B22" s="436">
        <f>D16/D6</f>
        <v>13.799799487032507</v>
      </c>
      <c r="C22" t="s">
        <v>262</v>
      </c>
      <c r="D22" s="30"/>
      <c r="F22" s="30"/>
    </row>
    <row r="23" spans="1:6">
      <c r="A23" t="s">
        <v>98</v>
      </c>
      <c r="B23" s="7">
        <f>D13</f>
        <v>851544.74996400008</v>
      </c>
      <c r="C23" t="s">
        <v>258</v>
      </c>
      <c r="D23" s="30"/>
      <c r="F23" s="30"/>
    </row>
    <row r="24" spans="1:6">
      <c r="B24" s="437"/>
    </row>
    <row r="25" spans="1:6">
      <c r="A25" s="10" t="s">
        <v>275</v>
      </c>
    </row>
    <row r="26" spans="1:6">
      <c r="A26" t="s">
        <v>252</v>
      </c>
      <c r="B26" t="s">
        <v>276</v>
      </c>
    </row>
    <row r="27" spans="1:6">
      <c r="A27" t="s">
        <v>254</v>
      </c>
      <c r="B27" t="s">
        <v>255</v>
      </c>
    </row>
    <row r="28" spans="1:6">
      <c r="A28" t="s">
        <v>189</v>
      </c>
      <c r="B28">
        <v>2023</v>
      </c>
    </row>
    <row r="29" spans="1:6">
      <c r="A29" t="s">
        <v>277</v>
      </c>
      <c r="B29" s="30">
        <f>2781*B30</f>
        <v>15295500</v>
      </c>
      <c r="C29" t="s">
        <v>278</v>
      </c>
      <c r="D29" s="30">
        <f>B29*1.08</f>
        <v>16519140.000000002</v>
      </c>
      <c r="E29" t="s">
        <v>258</v>
      </c>
    </row>
    <row r="30" spans="1:6">
      <c r="A30" t="s">
        <v>279</v>
      </c>
      <c r="B30" s="30">
        <v>5500</v>
      </c>
      <c r="C30" t="s">
        <v>259</v>
      </c>
      <c r="D30" s="30">
        <f>B30*10.764</f>
        <v>59202</v>
      </c>
      <c r="E30" t="s">
        <v>260</v>
      </c>
    </row>
    <row r="31" spans="1:6">
      <c r="A31" t="s">
        <v>261</v>
      </c>
      <c r="D31" s="30">
        <f>D29/D30</f>
        <v>279.03010033444821</v>
      </c>
      <c r="E3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871F-E93A-462E-8897-BE5ABC5EC939}">
  <dimension ref="B2:BK67"/>
  <sheetViews>
    <sheetView topLeftCell="A16" workbookViewId="0">
      <selection activeCell="L69" sqref="L69"/>
    </sheetView>
  </sheetViews>
  <sheetFormatPr baseColWidth="10" defaultColWidth="8.83203125" defaultRowHeight="15"/>
  <cols>
    <col min="2" max="2" width="10.1640625" bestFit="1" customWidth="1"/>
    <col min="3" max="3" width="15" bestFit="1" customWidth="1"/>
    <col min="4" max="9" width="14.5" bestFit="1" customWidth="1"/>
    <col min="10" max="41" width="15.5" bestFit="1" customWidth="1"/>
    <col min="42" max="63" width="15.33203125" bestFit="1" customWidth="1"/>
  </cols>
  <sheetData>
    <row r="2" spans="2:63">
      <c r="B2" s="5" t="s">
        <v>22</v>
      </c>
    </row>
    <row r="4" spans="2:63">
      <c r="B4" t="s">
        <v>280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</row>
    <row r="5" spans="2:63">
      <c r="B5" t="s">
        <v>70</v>
      </c>
      <c r="C5">
        <f ca="1">'Cash Flow - Modular'!C34</f>
        <v>-5366485.786974377</v>
      </c>
      <c r="D5">
        <f ca="1">'Cash Flow - Modular'!D34</f>
        <v>-158000</v>
      </c>
      <c r="E5">
        <f ca="1">'Cash Flow - Modular'!E34</f>
        <v>-158000</v>
      </c>
      <c r="F5">
        <f ca="1">'Cash Flow - Modular'!F34</f>
        <v>-158000</v>
      </c>
      <c r="G5">
        <f ca="1">'Cash Flow - Modular'!G34</f>
        <v>-158000</v>
      </c>
      <c r="H5">
        <f ca="1">'Cash Flow - Modular'!H34</f>
        <v>-158000</v>
      </c>
      <c r="I5">
        <f ca="1">'Cash Flow - Modular'!I34</f>
        <v>-158000</v>
      </c>
      <c r="J5">
        <f ca="1">'Cash Flow - Modular'!J34</f>
        <v>-1208000</v>
      </c>
      <c r="K5">
        <f ca="1">'Cash Flow - Modular'!K34</f>
        <v>-4358000</v>
      </c>
      <c r="L5">
        <f ca="1">'Cash Flow - Modular'!L34</f>
        <v>-3105244.5090021729</v>
      </c>
      <c r="M5">
        <f ca="1">'Cash Flow - Modular'!M34</f>
        <v>-3126085.0763693713</v>
      </c>
      <c r="N5">
        <f ca="1">'Cash Flow - Modular'!N34</f>
        <v>-3147065.5133143077</v>
      </c>
      <c r="O5">
        <f ca="1">'Cash Flow - Modular'!O34</f>
        <v>-3168186.7585589923</v>
      </c>
      <c r="P5">
        <f ca="1">'Cash Flow - Modular'!P34</f>
        <v>-3189449.7571255835</v>
      </c>
      <c r="Q5">
        <f ca="1">'Cash Flow - Modular'!Q34</f>
        <v>-1308170.8966202794</v>
      </c>
      <c r="R5">
        <f ca="1">'Cash Flow - Modular'!R34</f>
        <v>-1316950.5672506632</v>
      </c>
      <c r="S5">
        <f ca="1">'Cash Flow - Modular'!S34</f>
        <v>-1325789.1618431604</v>
      </c>
      <c r="T5">
        <f ca="1">'Cash Flow - Modular'!T34</f>
        <v>-1334687.0758606158</v>
      </c>
      <c r="U5">
        <f ca="1">'Cash Flow - Modular'!U34</f>
        <v>-1343644.7074199866</v>
      </c>
      <c r="V5">
        <f ca="1">'Cash Flow - Modular'!V34</f>
        <v>-119914.19160650723</v>
      </c>
      <c r="W5">
        <f ca="1">'Cash Flow - Modular'!W34</f>
        <v>-104078.10185959096</v>
      </c>
      <c r="X5">
        <f ca="1">'Cash Flow - Modular'!X34</f>
        <v>-88135.729629360299</v>
      </c>
      <c r="Y5">
        <f ca="1">'Cash Flow - Modular'!Y34</f>
        <v>-72086.361610569555</v>
      </c>
      <c r="Z5">
        <f ca="1">'Cash Flow - Modular'!Z34</f>
        <v>-55929.279710689385</v>
      </c>
      <c r="AA5">
        <f ca="1">'Cash Flow - Modular'!AA34</f>
        <v>-39663.761017777375</v>
      </c>
      <c r="AB5">
        <f ca="1">'Cash Flow - Modular'!AB34</f>
        <v>-19553.590032054315</v>
      </c>
      <c r="AC5">
        <f ca="1">'Cash Flow - Modular'!AC34</f>
        <v>-2510.2980850088934</v>
      </c>
      <c r="AD5">
        <f ca="1">'Cash Flow - Modular'!AD34</f>
        <v>0</v>
      </c>
      <c r="AE5">
        <f ca="1">'Cash Flow - Modular'!AE34</f>
        <v>0</v>
      </c>
      <c r="AF5">
        <f ca="1">'Cash Flow - Modular'!AF34</f>
        <v>0</v>
      </c>
      <c r="AG5">
        <f>'Cash Flow - Modular'!AG34</f>
        <v>0</v>
      </c>
      <c r="AH5">
        <f>'Cash Flow - Modular'!AH34</f>
        <v>0</v>
      </c>
      <c r="AI5">
        <f>'Cash Flow - Modular'!AI34</f>
        <v>0</v>
      </c>
      <c r="AJ5">
        <f>'Cash Flow - Modular'!AJ34</f>
        <v>0</v>
      </c>
      <c r="AK5">
        <f>'Cash Flow - Modular'!AK34</f>
        <v>0</v>
      </c>
      <c r="AL5">
        <f>'Cash Flow - Modular'!AL34</f>
        <v>0</v>
      </c>
      <c r="AM5">
        <f>'Cash Flow - Modular'!AM34</f>
        <v>0</v>
      </c>
      <c r="AN5">
        <f>'Cash Flow - Modular'!AN34</f>
        <v>0</v>
      </c>
      <c r="AO5">
        <f>'Cash Flow - Modular'!AO34</f>
        <v>0</v>
      </c>
    </row>
    <row r="6" spans="2:63">
      <c r="B6" t="s">
        <v>281</v>
      </c>
      <c r="C6">
        <f ca="1">'Cash Flow - Traditional'!C34</f>
        <v>-5329076.0731086107</v>
      </c>
      <c r="D6">
        <f ca="1">'Cash Flow - Traditional'!D34</f>
        <v>-120080</v>
      </c>
      <c r="E6">
        <f ca="1">'Cash Flow - Traditional'!E34</f>
        <v>-120080</v>
      </c>
      <c r="F6">
        <f ca="1">'Cash Flow - Traditional'!F34</f>
        <v>-120080</v>
      </c>
      <c r="G6">
        <f ca="1">'Cash Flow - Traditional'!G34</f>
        <v>-120080</v>
      </c>
      <c r="H6">
        <f ca="1">'Cash Flow - Traditional'!H34</f>
        <v>-120080</v>
      </c>
      <c r="I6">
        <f ca="1">'Cash Flow - Traditional'!I34</f>
        <v>-120080</v>
      </c>
      <c r="J6">
        <f ca="1">'Cash Flow - Traditional'!J34</f>
        <v>-1520080</v>
      </c>
      <c r="K6">
        <f ca="1">'Cash Flow - Traditional'!K34</f>
        <v>-1520080</v>
      </c>
      <c r="L6">
        <f ca="1">'Cash Flow - Traditional'!L34</f>
        <v>-1520080</v>
      </c>
      <c r="M6">
        <f ca="1">'Cash Flow - Traditional'!M34</f>
        <v>-1520080</v>
      </c>
      <c r="N6">
        <f ca="1">'Cash Flow - Traditional'!N34</f>
        <v>-1520080</v>
      </c>
      <c r="O6">
        <f ca="1">'Cash Flow - Traditional'!O34</f>
        <v>-1528381.7758744822</v>
      </c>
      <c r="P6">
        <f ca="1">'Cash Flow - Traditional'!P34</f>
        <v>-1538639.3715991538</v>
      </c>
      <c r="Q6">
        <f ca="1">'Cash Flow - Traditional'!Q34</f>
        <v>-1548965.8102493929</v>
      </c>
      <c r="R6">
        <f ca="1">'Cash Flow - Traditional'!R34</f>
        <v>-1559361.5538582345</v>
      </c>
      <c r="S6">
        <f ca="1">'Cash Flow - Traditional'!S34</f>
        <v>-1569827.0675596076</v>
      </c>
      <c r="T6">
        <f ca="1">'Cash Flow - Traditional'!T34</f>
        <v>-1580362.8196091438</v>
      </c>
      <c r="U6">
        <f ca="1">'Cash Flow - Traditional'!U34</f>
        <v>-1590969.281405132</v>
      </c>
      <c r="V6">
        <f ca="1">'Cash Flow - Traditional'!V34</f>
        <v>-1601646.9275096066</v>
      </c>
      <c r="W6">
        <f ca="1">'Cash Flow - Traditional'!W34</f>
        <v>-1612396.2356695833</v>
      </c>
      <c r="X6">
        <f ca="1">'Cash Flow - Traditional'!X34</f>
        <v>-1623217.6868384334</v>
      </c>
      <c r="Y6">
        <f ca="1">'Cash Flow - Traditional'!Y34</f>
        <v>-1634111.765197403</v>
      </c>
      <c r="Z6">
        <f ca="1">'Cash Flow - Traditional'!Z34</f>
        <v>-1645078.9581772776</v>
      </c>
      <c r="AA6">
        <f ca="1">'Cash Flow - Traditional'!AA34</f>
        <v>-1656119.7564801895</v>
      </c>
      <c r="AB6">
        <f ca="1">'Cash Flow - Traditional'!AB34</f>
        <v>-119778.25064847653</v>
      </c>
      <c r="AC6">
        <f ca="1">'Cash Flow - Traditional'!AC34</f>
        <v>-103407.60719471557</v>
      </c>
      <c r="AD6">
        <f ca="1">'Cash Flow - Traditional'!AD34</f>
        <v>-86927.093651624338</v>
      </c>
      <c r="AE6">
        <f ca="1">'Cash Flow - Traditional'!AE34</f>
        <v>-70335.972636032675</v>
      </c>
      <c r="AF6">
        <f ca="1">'Cash Flow - Traditional'!AF34</f>
        <v>-53633.501815890311</v>
      </c>
      <c r="AG6">
        <f ca="1">'Cash Flow - Traditional'!AG34</f>
        <v>-36818.933877052914</v>
      </c>
      <c r="AH6">
        <f ca="1">'Cash Flow - Traditional'!AH34</f>
        <v>-19891.516489845031</v>
      </c>
      <c r="AI6">
        <f ca="1">'Cash Flow - Traditional'!AI34</f>
        <v>-2850.3048570559185</v>
      </c>
      <c r="AJ6">
        <f ca="1">'Cash Flow - Traditional'!AJ34</f>
        <v>0</v>
      </c>
      <c r="AK6">
        <f ca="1">'Cash Flow - Traditional'!AK34</f>
        <v>0</v>
      </c>
      <c r="AL6">
        <f ca="1">'Cash Flow - Traditional'!AL34</f>
        <v>0</v>
      </c>
      <c r="AM6">
        <f>'Cash Flow - Traditional'!AM34</f>
        <v>0</v>
      </c>
      <c r="AN6">
        <f>'Cash Flow - Traditional'!AN34</f>
        <v>0</v>
      </c>
      <c r="AO6">
        <f>'Cash Flow - Traditional'!AO34</f>
        <v>0</v>
      </c>
    </row>
    <row r="8" spans="2:63">
      <c r="B8" t="s">
        <v>282</v>
      </c>
    </row>
    <row r="9" spans="2:63">
      <c r="B9" t="s">
        <v>280</v>
      </c>
      <c r="C9">
        <v>0</v>
      </c>
      <c r="D9">
        <v>1</v>
      </c>
      <c r="E9">
        <v>2</v>
      </c>
      <c r="F9">
        <v>3</v>
      </c>
      <c r="G9">
        <v>4</v>
      </c>
      <c r="H9">
        <v>5</v>
      </c>
      <c r="I9">
        <v>6</v>
      </c>
      <c r="J9">
        <v>7</v>
      </c>
      <c r="K9">
        <v>8</v>
      </c>
      <c r="L9">
        <v>9</v>
      </c>
      <c r="M9">
        <v>10</v>
      </c>
      <c r="N9">
        <v>11</v>
      </c>
      <c r="O9">
        <v>12</v>
      </c>
      <c r="P9">
        <v>13</v>
      </c>
      <c r="Q9">
        <v>14</v>
      </c>
      <c r="R9">
        <v>15</v>
      </c>
      <c r="S9">
        <v>16</v>
      </c>
      <c r="T9">
        <v>17</v>
      </c>
      <c r="U9">
        <v>18</v>
      </c>
      <c r="V9">
        <v>19</v>
      </c>
      <c r="W9">
        <v>20</v>
      </c>
      <c r="X9">
        <v>21</v>
      </c>
      <c r="Y9">
        <v>22</v>
      </c>
      <c r="Z9">
        <v>23</v>
      </c>
      <c r="AA9">
        <v>24</v>
      </c>
      <c r="AB9">
        <v>25</v>
      </c>
      <c r="AC9">
        <v>26</v>
      </c>
      <c r="AD9">
        <v>27</v>
      </c>
      <c r="AE9">
        <v>28</v>
      </c>
      <c r="AF9">
        <v>29</v>
      </c>
      <c r="AG9">
        <v>30</v>
      </c>
      <c r="AH9">
        <v>31</v>
      </c>
      <c r="AI9">
        <v>32</v>
      </c>
      <c r="AJ9">
        <v>33</v>
      </c>
      <c r="AK9">
        <v>34</v>
      </c>
      <c r="AL9">
        <v>35</v>
      </c>
      <c r="AM9">
        <v>36</v>
      </c>
      <c r="AN9">
        <v>37</v>
      </c>
      <c r="AO9">
        <v>38</v>
      </c>
    </row>
    <row r="10" spans="2:63">
      <c r="B10" t="s">
        <v>70</v>
      </c>
      <c r="C10" s="320">
        <f ca="1">-SUM($C$5:C5)</f>
        <v>5366485.786974377</v>
      </c>
      <c r="D10" s="320">
        <f ca="1">-SUM($C$5:D5)</f>
        <v>5524485.786974377</v>
      </c>
      <c r="E10" s="320">
        <f ca="1">-SUM($C$5:E5)</f>
        <v>5682485.786974377</v>
      </c>
      <c r="F10" s="320">
        <f ca="1">-SUM($C$5:F5)</f>
        <v>5840485.786974377</v>
      </c>
      <c r="G10" s="320">
        <f ca="1">-SUM($C$5:G5)</f>
        <v>5998485.786974377</v>
      </c>
      <c r="H10" s="320">
        <f ca="1">-SUM($C$5:H5)</f>
        <v>6156485.786974377</v>
      </c>
      <c r="I10" s="320">
        <f ca="1">-SUM($C$5:I5)</f>
        <v>6314485.786974377</v>
      </c>
      <c r="J10" s="320">
        <f ca="1">-SUM($C$5:J5)</f>
        <v>7522485.786974377</v>
      </c>
      <c r="K10" s="320">
        <f ca="1">-SUM($C$5:K5)</f>
        <v>11880485.786974378</v>
      </c>
      <c r="L10" s="320">
        <f ca="1">-SUM($C$5:L5)</f>
        <v>14985730.295976551</v>
      </c>
      <c r="M10" s="320">
        <f ca="1">-SUM($C$5:M5)</f>
        <v>18111815.372345924</v>
      </c>
      <c r="N10" s="320">
        <f ca="1">-SUM($C$5:N5)</f>
        <v>21258880.885660231</v>
      </c>
      <c r="O10" s="320">
        <f ca="1">-SUM($C$5:O5)</f>
        <v>24427067.644219223</v>
      </c>
      <c r="P10" s="320">
        <f ca="1">-SUM($C$5:P5)</f>
        <v>27616517.401344806</v>
      </c>
      <c r="Q10" s="320">
        <f ca="1">-SUM($C$5:Q5)</f>
        <v>28924688.297965087</v>
      </c>
      <c r="R10" s="320">
        <f ca="1">-SUM($C$5:R5)</f>
        <v>30241638.865215749</v>
      </c>
      <c r="S10" s="320">
        <f ca="1">-SUM($C$5:S5)</f>
        <v>31567428.027058911</v>
      </c>
      <c r="T10" s="320">
        <f ca="1">-SUM($C$5:T5)</f>
        <v>32902115.102919526</v>
      </c>
      <c r="U10" s="320">
        <f ca="1">-SUM($C$5:U5)</f>
        <v>34245759.81033951</v>
      </c>
      <c r="V10" s="320">
        <f ca="1">-SUM($C$5:V5)</f>
        <v>34365674.001946017</v>
      </c>
      <c r="W10" s="320">
        <f ca="1">-SUM($C$5:W5)</f>
        <v>34469752.103805609</v>
      </c>
      <c r="X10" s="320">
        <f ca="1">-SUM($C$5:X5)</f>
        <v>34557887.833434969</v>
      </c>
      <c r="Y10" s="320">
        <f ca="1">-SUM($C$5:Y5)</f>
        <v>34629974.195045538</v>
      </c>
      <c r="Z10" s="320">
        <f ca="1">-SUM($C$5:Z5)</f>
        <v>34685903.474756226</v>
      </c>
      <c r="AA10" s="320">
        <f ca="1">-SUM($C$5:AA5)</f>
        <v>34725567.235774003</v>
      </c>
      <c r="AB10" s="320">
        <f ca="1">-SUM($C$5:AB5)</f>
        <v>34745120.825806059</v>
      </c>
      <c r="AC10" s="320">
        <f ca="1">-SUM($C$5:AC5)</f>
        <v>34747631.12389107</v>
      </c>
      <c r="AD10" s="320">
        <f ca="1">-SUM($C$5:AD5)</f>
        <v>34747631.12389107</v>
      </c>
      <c r="AE10" s="320">
        <f ca="1">-SUM($C$5:AE5)</f>
        <v>34747631.12389107</v>
      </c>
      <c r="AF10" s="320">
        <f ca="1">-SUM($C$5:AF5)</f>
        <v>34747631.12389107</v>
      </c>
      <c r="AG10" s="320">
        <f ca="1">-SUM($C$5:AG5)</f>
        <v>34747631.12389107</v>
      </c>
      <c r="AH10" s="320">
        <f ca="1">-SUM($C$5:AH5)</f>
        <v>34747631.12389107</v>
      </c>
      <c r="AI10" s="320">
        <f ca="1">-SUM($C$5:AI5)</f>
        <v>34747631.12389107</v>
      </c>
      <c r="AJ10" s="320">
        <f ca="1">-SUM($C$5:AJ5)</f>
        <v>34747631.12389107</v>
      </c>
      <c r="AK10" s="320">
        <f ca="1">-SUM($C$5:AK5)</f>
        <v>34747631.12389107</v>
      </c>
      <c r="AL10" s="320">
        <f ca="1">-SUM($C$5:AL5)</f>
        <v>34747631.12389107</v>
      </c>
      <c r="AM10" s="320">
        <f ca="1">-SUM($C$5:AM5)</f>
        <v>34747631.12389107</v>
      </c>
      <c r="AN10" s="320">
        <f ca="1">-SUM($C$5:AN5)</f>
        <v>34747631.12389107</v>
      </c>
      <c r="AO10" s="320">
        <f ca="1">-SUM($C$5:AO5)</f>
        <v>34747631.12389107</v>
      </c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</row>
    <row r="11" spans="2:63">
      <c r="B11" t="s">
        <v>281</v>
      </c>
      <c r="C11" s="320">
        <f ca="1">-SUM($C$6:C6)</f>
        <v>5329076.0731086107</v>
      </c>
      <c r="D11" s="320">
        <f ca="1">-SUM($C$6:D6)</f>
        <v>5449156.0731086107</v>
      </c>
      <c r="E11" s="320">
        <f ca="1">-SUM($C$6:E6)</f>
        <v>5569236.0731086107</v>
      </c>
      <c r="F11" s="320">
        <f ca="1">-SUM($C$6:F6)</f>
        <v>5689316.0731086107</v>
      </c>
      <c r="G11" s="320">
        <f ca="1">-SUM($C$6:G6)</f>
        <v>5809396.0731086107</v>
      </c>
      <c r="H11" s="320">
        <f ca="1">-SUM($C$6:H6)</f>
        <v>5929476.0731086107</v>
      </c>
      <c r="I11" s="320">
        <f ca="1">-SUM($C$6:I6)</f>
        <v>6049556.0731086107</v>
      </c>
      <c r="J11" s="320">
        <f ca="1">-SUM($C$6:J6)</f>
        <v>7569636.0731086107</v>
      </c>
      <c r="K11" s="320">
        <f ca="1">-SUM($C$6:K6)</f>
        <v>9089716.0731086098</v>
      </c>
      <c r="L11" s="320">
        <f ca="1">-SUM($C$6:L6)</f>
        <v>10609796.07310861</v>
      </c>
      <c r="M11" s="320">
        <f ca="1">-SUM($C$6:M6)</f>
        <v>12129876.07310861</v>
      </c>
      <c r="N11" s="320">
        <f ca="1">-SUM($C$6:N6)</f>
        <v>13649956.07310861</v>
      </c>
      <c r="O11" s="320">
        <f ca="1">-SUM($C$6:O6)</f>
        <v>15178337.848983092</v>
      </c>
      <c r="P11" s="320">
        <f ca="1">-SUM($C$6:P6)</f>
        <v>16716977.220582247</v>
      </c>
      <c r="Q11" s="320">
        <f ca="1">-SUM($C$6:Q6)</f>
        <v>18265943.030831639</v>
      </c>
      <c r="R11" s="320">
        <f ca="1">-SUM($C$6:R6)</f>
        <v>19825304.584689874</v>
      </c>
      <c r="S11" s="320">
        <f ca="1">-SUM($C$6:S6)</f>
        <v>21395131.652249482</v>
      </c>
      <c r="T11" s="320">
        <f ca="1">-SUM($C$6:T6)</f>
        <v>22975494.471858624</v>
      </c>
      <c r="U11" s="320">
        <f ca="1">-SUM($C$6:U6)</f>
        <v>24566463.753263757</v>
      </c>
      <c r="V11" s="320">
        <f ca="1">-SUM($C$6:V6)</f>
        <v>26168110.680773363</v>
      </c>
      <c r="W11" s="320">
        <f ca="1">-SUM($C$6:W6)</f>
        <v>27780506.916442946</v>
      </c>
      <c r="X11" s="320">
        <f ca="1">-SUM($C$6:X6)</f>
        <v>29403724.603281379</v>
      </c>
      <c r="Y11" s="320">
        <f ca="1">-SUM($C$6:Y6)</f>
        <v>31037836.368478782</v>
      </c>
      <c r="Z11" s="320">
        <f ca="1">-SUM($C$6:Z6)</f>
        <v>32682915.326656058</v>
      </c>
      <c r="AA11" s="320">
        <f ca="1">-SUM($C$6:AA6)</f>
        <v>34339035.083136246</v>
      </c>
      <c r="AB11" s="320">
        <f ca="1">-SUM($C$6:AB6)</f>
        <v>34458813.333784722</v>
      </c>
      <c r="AC11" s="320">
        <f ca="1">-SUM($C$6:AC6)</f>
        <v>34562220.940979436</v>
      </c>
      <c r="AD11" s="320">
        <f ca="1">-SUM($C$6:AD6)</f>
        <v>34649148.034631059</v>
      </c>
      <c r="AE11" s="320">
        <f ca="1">-SUM($C$6:AE6)</f>
        <v>34719484.007267088</v>
      </c>
      <c r="AF11" s="320">
        <f ca="1">-SUM($C$6:AF6)</f>
        <v>34773117.50908298</v>
      </c>
      <c r="AG11" s="320">
        <f ca="1">-SUM($C$6:AG6)</f>
        <v>34809936.442960031</v>
      </c>
      <c r="AH11" s="320">
        <f ca="1">-SUM($C$6:AH6)</f>
        <v>34829827.95944988</v>
      </c>
      <c r="AI11" s="320">
        <f ca="1">-SUM($C$6:AI6)</f>
        <v>34832678.264306933</v>
      </c>
      <c r="AJ11" s="320">
        <f ca="1">-SUM($C$6:AJ6)</f>
        <v>34832678.264306933</v>
      </c>
      <c r="AK11" s="320">
        <f ca="1">-SUM($C$6:AK6)</f>
        <v>34832678.264306933</v>
      </c>
      <c r="AL11" s="320">
        <f ca="1">-SUM($C$6:AL6)</f>
        <v>34832678.264306933</v>
      </c>
      <c r="AM11" s="320">
        <f ca="1">-SUM($C$6:AM6)</f>
        <v>34832678.264306933</v>
      </c>
      <c r="AN11" s="320">
        <f ca="1">-SUM($C$6:AN6)</f>
        <v>34832678.264306933</v>
      </c>
      <c r="AO11" s="320">
        <f ca="1">-SUM($C$6:AO6)</f>
        <v>34832678.264306933</v>
      </c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</row>
    <row r="32" spans="2:2">
      <c r="B32" s="5" t="s">
        <v>283</v>
      </c>
    </row>
    <row r="34" spans="2:63">
      <c r="B34" t="s">
        <v>280</v>
      </c>
      <c r="C34">
        <v>0</v>
      </c>
      <c r="D34">
        <v>1</v>
      </c>
      <c r="E34">
        <v>2</v>
      </c>
      <c r="F34">
        <v>3</v>
      </c>
      <c r="G34">
        <v>4</v>
      </c>
      <c r="H34">
        <v>5</v>
      </c>
      <c r="I34">
        <v>6</v>
      </c>
      <c r="J34">
        <v>7</v>
      </c>
      <c r="K34">
        <v>8</v>
      </c>
      <c r="L34">
        <v>9</v>
      </c>
      <c r="M34">
        <v>10</v>
      </c>
      <c r="N34">
        <v>11</v>
      </c>
      <c r="O34">
        <v>12</v>
      </c>
      <c r="P34">
        <v>13</v>
      </c>
      <c r="Q34">
        <v>14</v>
      </c>
      <c r="R34">
        <v>15</v>
      </c>
      <c r="S34">
        <v>16</v>
      </c>
      <c r="T34">
        <v>17</v>
      </c>
      <c r="U34">
        <v>18</v>
      </c>
      <c r="V34">
        <v>19</v>
      </c>
      <c r="W34">
        <v>20</v>
      </c>
      <c r="X34">
        <v>21</v>
      </c>
      <c r="Y34">
        <v>22</v>
      </c>
      <c r="Z34">
        <v>23</v>
      </c>
      <c r="AA34">
        <v>24</v>
      </c>
      <c r="AB34">
        <v>25</v>
      </c>
      <c r="AC34">
        <v>26</v>
      </c>
      <c r="AD34">
        <v>27</v>
      </c>
      <c r="AE34">
        <v>28</v>
      </c>
      <c r="AF34">
        <v>29</v>
      </c>
      <c r="AG34">
        <v>30</v>
      </c>
      <c r="AH34">
        <v>31</v>
      </c>
      <c r="AI34">
        <v>32</v>
      </c>
      <c r="AJ34">
        <v>33</v>
      </c>
      <c r="AK34">
        <v>34</v>
      </c>
      <c r="AL34">
        <v>35</v>
      </c>
      <c r="AM34">
        <v>36</v>
      </c>
      <c r="AN34">
        <v>37</v>
      </c>
      <c r="AO34">
        <v>38</v>
      </c>
      <c r="AP34">
        <v>39</v>
      </c>
      <c r="AQ34">
        <v>40</v>
      </c>
      <c r="AR34">
        <v>41</v>
      </c>
      <c r="AS34">
        <v>42</v>
      </c>
      <c r="AT34">
        <v>43</v>
      </c>
      <c r="AU34">
        <v>44</v>
      </c>
      <c r="AV34">
        <v>45</v>
      </c>
      <c r="AW34">
        <v>46</v>
      </c>
      <c r="AX34">
        <v>47</v>
      </c>
      <c r="AY34">
        <v>48</v>
      </c>
      <c r="AZ34">
        <v>49</v>
      </c>
      <c r="BA34">
        <v>50</v>
      </c>
      <c r="BB34">
        <v>51</v>
      </c>
      <c r="BC34">
        <v>52</v>
      </c>
      <c r="BD34">
        <v>53</v>
      </c>
      <c r="BE34">
        <v>54</v>
      </c>
      <c r="BF34">
        <v>55</v>
      </c>
      <c r="BG34">
        <v>56</v>
      </c>
      <c r="BH34">
        <v>57</v>
      </c>
      <c r="BI34">
        <v>58</v>
      </c>
      <c r="BJ34">
        <v>59</v>
      </c>
    </row>
    <row r="35" spans="2:63">
      <c r="B35" t="s">
        <v>70</v>
      </c>
      <c r="C35" s="375">
        <f ca="1">'Cash Flow - Modular'!C89</f>
        <v>-5158000</v>
      </c>
      <c r="D35" s="375">
        <f ca="1">'Cash Flow - Modular'!D89</f>
        <v>-158000</v>
      </c>
      <c r="E35" s="375">
        <f ca="1">'Cash Flow - Modular'!E89</f>
        <v>-158000</v>
      </c>
      <c r="F35" s="375">
        <f ca="1">'Cash Flow - Modular'!F89</f>
        <v>-158000</v>
      </c>
      <c r="G35" s="375">
        <f ca="1">'Cash Flow - Modular'!G89</f>
        <v>-158000</v>
      </c>
      <c r="H35" s="375">
        <f ca="1">'Cash Flow - Modular'!H89</f>
        <v>-158000</v>
      </c>
      <c r="I35" s="375">
        <f ca="1">'Cash Flow - Modular'!I89</f>
        <v>-158000</v>
      </c>
      <c r="J35" s="375">
        <f ca="1">'Cash Flow - Modular'!J89</f>
        <v>-1208000</v>
      </c>
      <c r="K35" s="375">
        <f ca="1">'Cash Flow - Modular'!K89</f>
        <v>-4358000</v>
      </c>
      <c r="L35" s="375">
        <f ca="1">'Cash Flow - Modular'!L89</f>
        <v>-3098000</v>
      </c>
      <c r="M35" s="375">
        <f ca="1">'Cash Flow - Modular'!M89</f>
        <v>-3098000</v>
      </c>
      <c r="N35" s="375">
        <f ca="1">'Cash Flow - Modular'!N89</f>
        <v>-3098000</v>
      </c>
      <c r="O35" s="375">
        <f ca="1">'Cash Flow - Modular'!O89</f>
        <v>-3098000</v>
      </c>
      <c r="P35" s="375">
        <f ca="1">'Cash Flow - Modular'!P89</f>
        <v>-3098000</v>
      </c>
      <c r="Q35" s="375">
        <f ca="1">'Cash Flow - Modular'!Q89</f>
        <v>-1208000</v>
      </c>
      <c r="R35" s="375">
        <f ca="1">'Cash Flow - Modular'!R89</f>
        <v>-1208000</v>
      </c>
      <c r="S35" s="375">
        <f ca="1">'Cash Flow - Modular'!S89</f>
        <v>-1208000</v>
      </c>
      <c r="T35" s="375">
        <f ca="1">'Cash Flow - Modular'!T89</f>
        <v>-1208000</v>
      </c>
      <c r="U35" s="375">
        <f ca="1">'Cash Flow - Modular'!U89</f>
        <v>-1208000</v>
      </c>
      <c r="V35" s="375">
        <f ca="1">'Cash Flow - Modular'!V89</f>
        <v>16529.943932291673</v>
      </c>
      <c r="W35" s="375">
        <f ca="1">'Cash Flow - Modular'!W89</f>
        <v>33059.887864583332</v>
      </c>
      <c r="X35" s="375">
        <f ca="1">'Cash Flow - Modular'!X89</f>
        <v>49589.831796874976</v>
      </c>
      <c r="Y35" s="375">
        <f ca="1">'Cash Flow - Modular'!Y89</f>
        <v>66119.775729166664</v>
      </c>
      <c r="Z35" s="375">
        <f ca="1">'Cash Flow - Modular'!Z89</f>
        <v>82649.719661458308</v>
      </c>
      <c r="AA35" s="375">
        <f ca="1">'Cash Flow - Modular'!AA89</f>
        <v>99179.66359375001</v>
      </c>
      <c r="AB35" s="375">
        <f ca="1">'Cash Flow - Modular'!AB89</f>
        <v>119420.19201054671</v>
      </c>
      <c r="AC35" s="375">
        <f ca="1">'Cash Flow - Modular'!AC89</f>
        <v>136480.21944062487</v>
      </c>
      <c r="AD35" s="375">
        <f ca="1">'Cash Flow - Modular'!AD89</f>
        <v>153540.24687070301</v>
      </c>
      <c r="AE35" s="375">
        <f ca="1">'Cash Flow - Modular'!AE89</f>
        <v>170600.27430078102</v>
      </c>
      <c r="AF35" s="375">
        <f ca="1">'Cash Flow - Modular'!AF89</f>
        <v>187660.30173085921</v>
      </c>
      <c r="AG35" s="375">
        <f>'Cash Flow - Modular'!AG89</f>
        <v>41190789.261720553</v>
      </c>
      <c r="AH35" s="375">
        <f>'Cash Flow - Modular'!AH89</f>
        <v>0</v>
      </c>
      <c r="AI35" s="375">
        <f>'Cash Flow - Modular'!AI89</f>
        <v>0</v>
      </c>
      <c r="AJ35" s="375">
        <f>'Cash Flow - Modular'!AJ89</f>
        <v>0</v>
      </c>
      <c r="AK35" s="375">
        <f>'Cash Flow - Modular'!AK89</f>
        <v>0</v>
      </c>
      <c r="AL35" s="375">
        <f>'Cash Flow - Modular'!AL89</f>
        <v>0</v>
      </c>
      <c r="AM35" s="375">
        <f>'Cash Flow - Modular'!AM89</f>
        <v>0</v>
      </c>
      <c r="AN35" s="375">
        <f>'Cash Flow - Modular'!AN89</f>
        <v>0</v>
      </c>
      <c r="AO35" s="375">
        <f>'Cash Flow - Modular'!AO89</f>
        <v>0</v>
      </c>
      <c r="AP35" s="375">
        <f>'Cash Flow - Modular'!AP89</f>
        <v>0</v>
      </c>
      <c r="AQ35" s="375">
        <f>'Cash Flow - Modular'!AQ89</f>
        <v>0</v>
      </c>
      <c r="AR35" s="375">
        <f>'Cash Flow - Modular'!AR89</f>
        <v>0</v>
      </c>
      <c r="AS35" s="375">
        <f>'Cash Flow - Modular'!AS89</f>
        <v>0</v>
      </c>
      <c r="AT35" s="375">
        <f>'Cash Flow - Modular'!AT89</f>
        <v>0</v>
      </c>
      <c r="AU35" s="375">
        <f>'Cash Flow - Modular'!AU89</f>
        <v>0</v>
      </c>
      <c r="AV35" s="375">
        <f>'Cash Flow - Modular'!AV89</f>
        <v>0</v>
      </c>
      <c r="AW35" s="375">
        <f>'Cash Flow - Modular'!AW89</f>
        <v>0</v>
      </c>
      <c r="AX35" s="375">
        <f>'Cash Flow - Modular'!AX89</f>
        <v>0</v>
      </c>
      <c r="AY35" s="375">
        <f>'Cash Flow - Modular'!AY89</f>
        <v>0</v>
      </c>
      <c r="AZ35" s="375">
        <f>'Cash Flow - Modular'!AZ89</f>
        <v>0</v>
      </c>
      <c r="BA35" s="375">
        <f>'Cash Flow - Modular'!BA89</f>
        <v>0</v>
      </c>
      <c r="BB35" s="375">
        <f>'Cash Flow - Modular'!BB89</f>
        <v>0</v>
      </c>
      <c r="BC35" s="375">
        <f>'Cash Flow - Modular'!BC89</f>
        <v>0</v>
      </c>
      <c r="BD35" s="375">
        <f>'Cash Flow - Modular'!BD89</f>
        <v>0</v>
      </c>
      <c r="BE35" s="375">
        <f>'Cash Flow - Modular'!BE89</f>
        <v>0</v>
      </c>
      <c r="BF35" s="375">
        <f>'Cash Flow - Modular'!BF89</f>
        <v>0</v>
      </c>
      <c r="BG35" s="375">
        <f>'Cash Flow - Modular'!BG89</f>
        <v>0</v>
      </c>
      <c r="BH35" s="375">
        <f>'Cash Flow - Modular'!BH89</f>
        <v>0</v>
      </c>
      <c r="BI35" s="375">
        <f>'Cash Flow - Modular'!BI89</f>
        <v>0</v>
      </c>
      <c r="BJ35" s="375">
        <f>'Cash Flow - Modular'!BJ89</f>
        <v>0</v>
      </c>
      <c r="BK35" s="375"/>
    </row>
    <row r="36" spans="2:63">
      <c r="B36" t="s">
        <v>281</v>
      </c>
      <c r="C36" s="375">
        <f ca="1">'Cash Flow - Traditional'!C89</f>
        <v>-5120080</v>
      </c>
      <c r="D36" s="375">
        <f ca="1">'Cash Flow - Traditional'!D89</f>
        <v>-120080</v>
      </c>
      <c r="E36" s="375">
        <f ca="1">'Cash Flow - Traditional'!E89</f>
        <v>-120080</v>
      </c>
      <c r="F36" s="375">
        <f ca="1">'Cash Flow - Traditional'!F89</f>
        <v>-120080</v>
      </c>
      <c r="G36" s="375">
        <f ca="1">'Cash Flow - Traditional'!G89</f>
        <v>-120080</v>
      </c>
      <c r="H36" s="375">
        <f ca="1">'Cash Flow - Traditional'!H89</f>
        <v>-120080</v>
      </c>
      <c r="I36" s="375">
        <f ca="1">'Cash Flow - Traditional'!I89</f>
        <v>-120080</v>
      </c>
      <c r="J36" s="375">
        <f ca="1">'Cash Flow - Traditional'!J89</f>
        <v>-1520080</v>
      </c>
      <c r="K36" s="375">
        <f ca="1">'Cash Flow - Traditional'!K89</f>
        <v>-1520080</v>
      </c>
      <c r="L36" s="375">
        <f ca="1">'Cash Flow - Traditional'!L89</f>
        <v>-1520080</v>
      </c>
      <c r="M36" s="375">
        <f ca="1">'Cash Flow - Traditional'!M89</f>
        <v>-1520080</v>
      </c>
      <c r="N36" s="375">
        <f ca="1">'Cash Flow - Traditional'!N89</f>
        <v>-1520080</v>
      </c>
      <c r="O36" s="375">
        <f ca="1">'Cash Flow - Traditional'!O89</f>
        <v>-1520080</v>
      </c>
      <c r="P36" s="375">
        <f ca="1">'Cash Flow - Traditional'!P89</f>
        <v>-1520080</v>
      </c>
      <c r="Q36" s="375">
        <f ca="1">'Cash Flow - Traditional'!Q89</f>
        <v>-1520080</v>
      </c>
      <c r="R36" s="375">
        <f ca="1">'Cash Flow - Traditional'!R89</f>
        <v>-1520080</v>
      </c>
      <c r="S36" s="375">
        <f ca="1">'Cash Flow - Traditional'!S89</f>
        <v>-1520080</v>
      </c>
      <c r="T36" s="375">
        <f ca="1">'Cash Flow - Traditional'!T89</f>
        <v>-1520080</v>
      </c>
      <c r="U36" s="375">
        <f ca="1">'Cash Flow - Traditional'!U89</f>
        <v>-1520080</v>
      </c>
      <c r="V36" s="375">
        <f ca="1">'Cash Flow - Traditional'!V89</f>
        <v>-1520080</v>
      </c>
      <c r="W36" s="375">
        <f ca="1">'Cash Flow - Traditional'!W89</f>
        <v>-1520080</v>
      </c>
      <c r="X36" s="375">
        <f ca="1">'Cash Flow - Traditional'!X89</f>
        <v>-1520080</v>
      </c>
      <c r="Y36" s="375">
        <f ca="1">'Cash Flow - Traditional'!Y89</f>
        <v>-1520080</v>
      </c>
      <c r="Z36" s="375">
        <f ca="1">'Cash Flow - Traditional'!Z89</f>
        <v>-1520080</v>
      </c>
      <c r="AA36" s="375">
        <f ca="1">'Cash Flow - Traditional'!AA89</f>
        <v>-1520080</v>
      </c>
      <c r="AB36" s="375">
        <f ca="1">'Cash Flow - Traditional'!AB89</f>
        <v>17060.027430078102</v>
      </c>
      <c r="AC36" s="375">
        <f ca="1">'Cash Flow - Traditional'!AC89</f>
        <v>34120.054860156219</v>
      </c>
      <c r="AD36" s="375">
        <f ca="1">'Cash Flow - Traditional'!AD89</f>
        <v>51180.082290234335</v>
      </c>
      <c r="AE36" s="375">
        <f ca="1">'Cash Flow - Traditional'!AE89</f>
        <v>68240.109720312437</v>
      </c>
      <c r="AF36" s="375">
        <f ca="1">'Cash Flow - Traditional'!AF89</f>
        <v>85300.137150390568</v>
      </c>
      <c r="AG36" s="375">
        <f ca="1">'Cash Flow - Traditional'!AG89</f>
        <v>102360.16458046864</v>
      </c>
      <c r="AH36" s="375">
        <f ca="1">'Cash Flow - Traditional'!AH89</f>
        <v>119420.19201054671</v>
      </c>
      <c r="AI36" s="375">
        <f ca="1">'Cash Flow - Traditional'!AI89</f>
        <v>136480.21944062487</v>
      </c>
      <c r="AJ36" s="375">
        <f ca="1">'Cash Flow - Traditional'!AJ89</f>
        <v>153540.24687070301</v>
      </c>
      <c r="AK36" s="375">
        <f ca="1">'Cash Flow - Traditional'!AK89</f>
        <v>170600.27430078102</v>
      </c>
      <c r="AL36" s="375">
        <f ca="1">'Cash Flow - Traditional'!AL89</f>
        <v>187660.30173085921</v>
      </c>
      <c r="AM36" s="375">
        <f>'Cash Flow - Traditional'!AM89</f>
        <v>41190789.261720553</v>
      </c>
      <c r="AN36" s="375">
        <f>'Cash Flow - Traditional'!AN89</f>
        <v>0</v>
      </c>
      <c r="AO36" s="375">
        <f>'Cash Flow - Traditional'!AO89</f>
        <v>0</v>
      </c>
      <c r="AP36" s="375">
        <f>'Cash Flow - Traditional'!AP89</f>
        <v>0</v>
      </c>
      <c r="AQ36" s="375">
        <f>'Cash Flow - Traditional'!AQ89</f>
        <v>0</v>
      </c>
      <c r="AR36" s="375">
        <f>'Cash Flow - Traditional'!AR89</f>
        <v>0</v>
      </c>
      <c r="AS36" s="375">
        <f>'Cash Flow - Traditional'!AS89</f>
        <v>0</v>
      </c>
      <c r="AT36" s="375">
        <f>'Cash Flow - Traditional'!AT89</f>
        <v>0</v>
      </c>
      <c r="AU36" s="375">
        <f>'Cash Flow - Traditional'!AU89</f>
        <v>0</v>
      </c>
      <c r="AV36" s="375">
        <f>'Cash Flow - Traditional'!AV89</f>
        <v>0</v>
      </c>
      <c r="AW36" s="375">
        <f>'Cash Flow - Traditional'!AW89</f>
        <v>0</v>
      </c>
      <c r="AX36" s="375">
        <f>'Cash Flow - Traditional'!AX89</f>
        <v>0</v>
      </c>
      <c r="AY36" s="375">
        <f>'Cash Flow - Traditional'!AY89</f>
        <v>0</v>
      </c>
      <c r="AZ36" s="375">
        <f>'Cash Flow - Traditional'!AZ89</f>
        <v>0</v>
      </c>
      <c r="BA36" s="375">
        <f>'Cash Flow - Traditional'!BA89</f>
        <v>0</v>
      </c>
      <c r="BB36" s="375">
        <f>'Cash Flow - Traditional'!BB89</f>
        <v>0</v>
      </c>
      <c r="BC36" s="375">
        <f>'Cash Flow - Traditional'!BC89</f>
        <v>0</v>
      </c>
      <c r="BD36" s="375">
        <f>'Cash Flow - Traditional'!BD89</f>
        <v>0</v>
      </c>
      <c r="BE36" s="375">
        <f>'Cash Flow - Traditional'!BE89</f>
        <v>0</v>
      </c>
      <c r="BF36" s="375">
        <f>'Cash Flow - Traditional'!BF89</f>
        <v>0</v>
      </c>
      <c r="BG36" s="375">
        <f>'Cash Flow - Traditional'!BG89</f>
        <v>0</v>
      </c>
      <c r="BH36" s="375">
        <f>'Cash Flow - Traditional'!BH89</f>
        <v>0</v>
      </c>
      <c r="BI36" s="375">
        <f>'Cash Flow - Traditional'!BI89</f>
        <v>0</v>
      </c>
      <c r="BJ36" s="375">
        <f>'Cash Flow - Traditional'!BJ89</f>
        <v>0</v>
      </c>
      <c r="BK36" s="375"/>
    </row>
    <row r="38" spans="2:63">
      <c r="B38" t="s">
        <v>284</v>
      </c>
    </row>
    <row r="39" spans="2:63">
      <c r="B39" t="s">
        <v>280</v>
      </c>
      <c r="C39">
        <v>0</v>
      </c>
      <c r="D39">
        <v>1</v>
      </c>
      <c r="E39">
        <v>2</v>
      </c>
      <c r="F39">
        <v>3</v>
      </c>
      <c r="G39">
        <v>4</v>
      </c>
      <c r="H39">
        <v>5</v>
      </c>
      <c r="I39">
        <v>6</v>
      </c>
      <c r="J39">
        <v>7</v>
      </c>
      <c r="K39">
        <v>8</v>
      </c>
      <c r="L39">
        <v>9</v>
      </c>
      <c r="M39">
        <v>10</v>
      </c>
      <c r="N39">
        <v>11</v>
      </c>
      <c r="O39">
        <v>12</v>
      </c>
      <c r="P39">
        <v>13</v>
      </c>
      <c r="Q39">
        <v>14</v>
      </c>
      <c r="R39">
        <v>15</v>
      </c>
      <c r="S39">
        <v>16</v>
      </c>
      <c r="T39">
        <v>17</v>
      </c>
      <c r="U39">
        <v>18</v>
      </c>
      <c r="V39">
        <v>19</v>
      </c>
      <c r="W39">
        <v>20</v>
      </c>
      <c r="X39">
        <v>21</v>
      </c>
      <c r="Y39">
        <v>22</v>
      </c>
      <c r="Z39">
        <v>23</v>
      </c>
      <c r="AA39">
        <v>24</v>
      </c>
      <c r="AB39">
        <v>25</v>
      </c>
      <c r="AC39">
        <v>26</v>
      </c>
      <c r="AD39">
        <v>27</v>
      </c>
      <c r="AE39">
        <v>28</v>
      </c>
      <c r="AF39">
        <v>29</v>
      </c>
      <c r="AG39">
        <v>30</v>
      </c>
      <c r="AH39">
        <v>31</v>
      </c>
      <c r="AI39">
        <v>32</v>
      </c>
      <c r="AJ39">
        <v>33</v>
      </c>
      <c r="AK39">
        <v>34</v>
      </c>
      <c r="AL39">
        <v>35</v>
      </c>
      <c r="AM39">
        <v>36</v>
      </c>
      <c r="AN39">
        <v>37</v>
      </c>
      <c r="AO39">
        <v>38</v>
      </c>
      <c r="AP39">
        <v>39</v>
      </c>
      <c r="AQ39">
        <v>40</v>
      </c>
      <c r="AR39">
        <v>41</v>
      </c>
      <c r="AS39">
        <v>42</v>
      </c>
      <c r="AT39">
        <v>43</v>
      </c>
      <c r="AU39">
        <v>44</v>
      </c>
      <c r="AV39">
        <v>45</v>
      </c>
      <c r="AW39">
        <v>46</v>
      </c>
      <c r="AX39">
        <v>47</v>
      </c>
      <c r="AY39">
        <v>48</v>
      </c>
      <c r="AZ39">
        <v>49</v>
      </c>
      <c r="BA39">
        <v>50</v>
      </c>
      <c r="BB39">
        <v>51</v>
      </c>
      <c r="BC39">
        <v>52</v>
      </c>
      <c r="BD39">
        <v>53</v>
      </c>
      <c r="BE39">
        <v>54</v>
      </c>
      <c r="BF39">
        <v>55</v>
      </c>
      <c r="BG39">
        <v>56</v>
      </c>
      <c r="BH39">
        <v>57</v>
      </c>
      <c r="BI39">
        <v>58</v>
      </c>
      <c r="BJ39">
        <v>59</v>
      </c>
    </row>
    <row r="40" spans="2:63">
      <c r="B40" t="s">
        <v>70</v>
      </c>
      <c r="C40" s="320">
        <f ca="1">SUM($C$35:C35)</f>
        <v>-5158000</v>
      </c>
      <c r="D40" s="320">
        <f ca="1">SUM($C$35:D35)</f>
        <v>-5316000</v>
      </c>
      <c r="E40" s="320">
        <f ca="1">SUM($C$35:E35)</f>
        <v>-5474000</v>
      </c>
      <c r="F40" s="320">
        <f ca="1">SUM($C$35:F35)</f>
        <v>-5632000</v>
      </c>
      <c r="G40" s="320">
        <f ca="1">SUM($C$35:G35)</f>
        <v>-5790000</v>
      </c>
      <c r="H40" s="320">
        <f ca="1">SUM($C$35:H35)</f>
        <v>-5948000</v>
      </c>
      <c r="I40" s="320">
        <f ca="1">SUM($C$35:I35)</f>
        <v>-6106000</v>
      </c>
      <c r="J40" s="320">
        <f ca="1">SUM($C$35:J35)</f>
        <v>-7314000</v>
      </c>
      <c r="K40" s="320">
        <f ca="1">SUM($C$35:K35)</f>
        <v>-11672000</v>
      </c>
      <c r="L40" s="320">
        <f ca="1">SUM($C$35:L35)</f>
        <v>-14770000</v>
      </c>
      <c r="M40" s="320">
        <f ca="1">SUM($C$35:M35)</f>
        <v>-17868000</v>
      </c>
      <c r="N40" s="320">
        <f ca="1">SUM($C$35:N35)</f>
        <v>-20966000</v>
      </c>
      <c r="O40" s="320">
        <f ca="1">SUM($C$35:O35)</f>
        <v>-24064000</v>
      </c>
      <c r="P40" s="320">
        <f ca="1">SUM($C$35:P35)</f>
        <v>-27162000</v>
      </c>
      <c r="Q40" s="320">
        <f ca="1">SUM($C$35:Q35)</f>
        <v>-28370000</v>
      </c>
      <c r="R40" s="320">
        <f ca="1">SUM($C$35:R35)</f>
        <v>-29578000</v>
      </c>
      <c r="S40" s="320">
        <f ca="1">SUM($C$35:S35)</f>
        <v>-30786000</v>
      </c>
      <c r="T40" s="320">
        <f ca="1">SUM($C$35:T35)</f>
        <v>-31994000</v>
      </c>
      <c r="U40" s="320">
        <f ca="1">SUM($C$35:U35)</f>
        <v>-33202000</v>
      </c>
      <c r="V40" s="320">
        <f ca="1">SUM($C$35:V35)</f>
        <v>-33185470.056067709</v>
      </c>
      <c r="W40" s="320">
        <f ca="1">SUM($C$35:W35)</f>
        <v>-33152410.168203127</v>
      </c>
      <c r="X40" s="320">
        <f ca="1">SUM($C$35:X35)</f>
        <v>-33102820.336406253</v>
      </c>
      <c r="Y40" s="320">
        <f ca="1">SUM($C$35:Y35)</f>
        <v>-33036700.560677085</v>
      </c>
      <c r="Z40" s="320">
        <f ca="1">SUM($C$35:Z35)</f>
        <v>-32954050.841015626</v>
      </c>
      <c r="AA40" s="320">
        <f ca="1">SUM($C$35:AA35)</f>
        <v>-32854871.177421875</v>
      </c>
      <c r="AB40" s="320">
        <f ca="1">SUM($C$35:AB35)</f>
        <v>-32735450.985411327</v>
      </c>
      <c r="AC40" s="320">
        <f ca="1">SUM($C$35:AC35)</f>
        <v>-32598970.765970703</v>
      </c>
      <c r="AD40" s="320">
        <f ca="1">SUM($C$35:AD35)</f>
        <v>-32445430.519099999</v>
      </c>
      <c r="AE40" s="320">
        <f ca="1">SUM($C$35:AE35)</f>
        <v>-32274830.244799219</v>
      </c>
      <c r="AF40" s="320">
        <f ca="1">SUM($C$35:AF35)</f>
        <v>-32087169.943068359</v>
      </c>
      <c r="AG40" s="320">
        <f ca="1">SUM($C$35:AG35)</f>
        <v>9103619.318652194</v>
      </c>
      <c r="AH40" s="320">
        <f ca="1">SUM($C$35:AH35)</f>
        <v>9103619.318652194</v>
      </c>
      <c r="AI40" s="320">
        <f ca="1">SUM($C$35:AI35)</f>
        <v>9103619.318652194</v>
      </c>
      <c r="AJ40" s="320">
        <f ca="1">SUM($C$35:AJ35)</f>
        <v>9103619.318652194</v>
      </c>
      <c r="AK40" s="320">
        <f ca="1">SUM($C$35:AK35)</f>
        <v>9103619.318652194</v>
      </c>
      <c r="AL40" s="320">
        <f ca="1">SUM($C$35:AL35)</f>
        <v>9103619.318652194</v>
      </c>
      <c r="AM40" s="320">
        <f ca="1">SUM($C$35:AM35)</f>
        <v>9103619.318652194</v>
      </c>
      <c r="AN40" s="320">
        <f ca="1">SUM($C$35:AN35)</f>
        <v>9103619.318652194</v>
      </c>
      <c r="AO40" s="320">
        <f ca="1">SUM($C$35:AO35)</f>
        <v>9103619.318652194</v>
      </c>
      <c r="AP40" s="320">
        <f ca="1">SUM($C$35:AP35)</f>
        <v>9103619.318652194</v>
      </c>
      <c r="AQ40" s="320">
        <f ca="1">SUM($C$35:AQ35)</f>
        <v>9103619.318652194</v>
      </c>
      <c r="AR40" s="320">
        <f ca="1">SUM($C$35:AR35)</f>
        <v>9103619.318652194</v>
      </c>
      <c r="AS40" s="320">
        <f ca="1">SUM($C$35:AS35)</f>
        <v>9103619.318652194</v>
      </c>
      <c r="AT40" s="320">
        <f ca="1">SUM($C$35:AT35)</f>
        <v>9103619.318652194</v>
      </c>
      <c r="AU40" s="320">
        <f ca="1">SUM($C$35:AU35)</f>
        <v>9103619.318652194</v>
      </c>
      <c r="AV40" s="320">
        <f ca="1">SUM($C$35:AV35)</f>
        <v>9103619.318652194</v>
      </c>
      <c r="AW40" s="320">
        <f ca="1">SUM($C$35:AW35)</f>
        <v>9103619.318652194</v>
      </c>
      <c r="AX40" s="320">
        <f ca="1">SUM($C$35:AX35)</f>
        <v>9103619.318652194</v>
      </c>
      <c r="AY40" s="320">
        <f ca="1">SUM($C$35:AY35)</f>
        <v>9103619.318652194</v>
      </c>
      <c r="AZ40" s="320">
        <f ca="1">SUM($C$35:AZ35)</f>
        <v>9103619.318652194</v>
      </c>
      <c r="BA40" s="320">
        <f ca="1">SUM($C$35:BA35)</f>
        <v>9103619.318652194</v>
      </c>
      <c r="BB40" s="320">
        <f ca="1">SUM($C$35:BB35)</f>
        <v>9103619.318652194</v>
      </c>
      <c r="BC40" s="320">
        <f ca="1">SUM($C$35:BC35)</f>
        <v>9103619.318652194</v>
      </c>
      <c r="BD40" s="320">
        <f ca="1">SUM($C$35:BD35)</f>
        <v>9103619.318652194</v>
      </c>
      <c r="BE40" s="320">
        <f ca="1">SUM($C$35:BE35)</f>
        <v>9103619.318652194</v>
      </c>
      <c r="BF40" s="320">
        <f ca="1">SUM($C$35:BF35)</f>
        <v>9103619.318652194</v>
      </c>
      <c r="BG40" s="320">
        <f ca="1">SUM($C$35:BG35)</f>
        <v>9103619.318652194</v>
      </c>
      <c r="BH40" s="320">
        <f ca="1">SUM($C$35:BH35)</f>
        <v>9103619.318652194</v>
      </c>
      <c r="BI40" s="320">
        <f ca="1">SUM($C$35:BI35)</f>
        <v>9103619.318652194</v>
      </c>
      <c r="BJ40" s="320">
        <f ca="1">SUM($C$35:BJ35)</f>
        <v>9103619.318652194</v>
      </c>
      <c r="BK40" s="320"/>
    </row>
    <row r="41" spans="2:63">
      <c r="B41" t="s">
        <v>281</v>
      </c>
      <c r="C41" s="320">
        <f ca="1">SUM($C$36:C36)</f>
        <v>-5120080</v>
      </c>
      <c r="D41" s="320">
        <f ca="1">SUM($C$36:D36)</f>
        <v>-5240160</v>
      </c>
      <c r="E41" s="320">
        <f ca="1">SUM($C$36:E36)</f>
        <v>-5360240</v>
      </c>
      <c r="F41" s="320">
        <f ca="1">SUM($C$36:F36)</f>
        <v>-5480320</v>
      </c>
      <c r="G41" s="320">
        <f ca="1">SUM($C$36:G36)</f>
        <v>-5600400</v>
      </c>
      <c r="H41" s="320">
        <f ca="1">SUM($C$36:H36)</f>
        <v>-5720480</v>
      </c>
      <c r="I41" s="320">
        <f ca="1">SUM($C$36:I36)</f>
        <v>-5840560</v>
      </c>
      <c r="J41" s="320">
        <f ca="1">SUM($C$36:J36)</f>
        <v>-7360640</v>
      </c>
      <c r="K41" s="320">
        <f ca="1">SUM($C$36:K36)</f>
        <v>-8880720</v>
      </c>
      <c r="L41" s="320">
        <f ca="1">SUM($C$36:L36)</f>
        <v>-10400800</v>
      </c>
      <c r="M41" s="320">
        <f ca="1">SUM($C$36:M36)</f>
        <v>-11920880</v>
      </c>
      <c r="N41" s="320">
        <f ca="1">SUM($C$36:N36)</f>
        <v>-13440960</v>
      </c>
      <c r="O41" s="320">
        <f ca="1">SUM($C$36:O36)</f>
        <v>-14961040</v>
      </c>
      <c r="P41" s="320">
        <f ca="1">SUM($C$36:P36)</f>
        <v>-16481120</v>
      </c>
      <c r="Q41" s="320">
        <f ca="1">SUM($C$36:Q36)</f>
        <v>-18001200</v>
      </c>
      <c r="R41" s="320">
        <f ca="1">SUM($C$36:R36)</f>
        <v>-19521280</v>
      </c>
      <c r="S41" s="320">
        <f ca="1">SUM($C$36:S36)</f>
        <v>-21041360</v>
      </c>
      <c r="T41" s="320">
        <f ca="1">SUM($C$36:T36)</f>
        <v>-22561440</v>
      </c>
      <c r="U41" s="320">
        <f ca="1">SUM($C$36:U36)</f>
        <v>-24081520</v>
      </c>
      <c r="V41" s="320">
        <f ca="1">SUM($C$36:V36)</f>
        <v>-25601600</v>
      </c>
      <c r="W41" s="320">
        <f ca="1">SUM($C$36:W36)</f>
        <v>-27121680</v>
      </c>
      <c r="X41" s="320">
        <f ca="1">SUM($C$36:X36)</f>
        <v>-28641760</v>
      </c>
      <c r="Y41" s="320">
        <f ca="1">SUM($C$36:Y36)</f>
        <v>-30161840</v>
      </c>
      <c r="Z41" s="320">
        <f ca="1">SUM($C$36:Z36)</f>
        <v>-31681920</v>
      </c>
      <c r="AA41" s="320">
        <f ca="1">SUM($C$36:AA36)</f>
        <v>-33202000</v>
      </c>
      <c r="AB41" s="320">
        <f ca="1">SUM($C$36:AB36)</f>
        <v>-33184939.97256992</v>
      </c>
      <c r="AC41" s="320">
        <f ca="1">SUM($C$36:AC36)</f>
        <v>-33150819.917709764</v>
      </c>
      <c r="AD41" s="320">
        <f ca="1">SUM($C$36:AD36)</f>
        <v>-33099639.835419528</v>
      </c>
      <c r="AE41" s="320">
        <f ca="1">SUM($C$36:AE36)</f>
        <v>-33031399.725699216</v>
      </c>
      <c r="AF41" s="320">
        <f ca="1">SUM($C$36:AF36)</f>
        <v>-32946099.588548824</v>
      </c>
      <c r="AG41" s="320">
        <f ca="1">SUM($C$36:AG36)</f>
        <v>-32843739.423968356</v>
      </c>
      <c r="AH41" s="320">
        <f ca="1">SUM($C$36:AH36)</f>
        <v>-32724319.231957808</v>
      </c>
      <c r="AI41" s="320">
        <f ca="1">SUM($C$36:AI36)</f>
        <v>-32587839.012517184</v>
      </c>
      <c r="AJ41" s="320">
        <f ca="1">SUM($C$36:AJ36)</f>
        <v>-32434298.76564648</v>
      </c>
      <c r="AK41" s="320">
        <f ca="1">SUM($C$36:AK36)</f>
        <v>-32263698.4913457</v>
      </c>
      <c r="AL41" s="320">
        <f ca="1">SUM($C$36:AL36)</f>
        <v>-32076038.18961484</v>
      </c>
      <c r="AM41" s="320">
        <f ca="1">SUM($C$36:AM36)</f>
        <v>9114751.0721057132</v>
      </c>
      <c r="AN41" s="320">
        <f ca="1">SUM($C$36:AN36)</f>
        <v>9114751.0721057132</v>
      </c>
      <c r="AO41" s="320">
        <f ca="1">SUM($C$36:AO36)</f>
        <v>9114751.0721057132</v>
      </c>
      <c r="AP41" s="320">
        <f ca="1">SUM($C$36:AP36)</f>
        <v>9114751.0721057132</v>
      </c>
      <c r="AQ41" s="320">
        <f ca="1">SUM($C$36:AQ36)</f>
        <v>9114751.0721057132</v>
      </c>
      <c r="AR41" s="320">
        <f ca="1">SUM($C$36:AR36)</f>
        <v>9114751.0721057132</v>
      </c>
      <c r="AS41" s="320">
        <f ca="1">SUM($C$36:AS36)</f>
        <v>9114751.0721057132</v>
      </c>
      <c r="AT41" s="320">
        <f ca="1">SUM($C$36:AT36)</f>
        <v>9114751.0721057132</v>
      </c>
      <c r="AU41" s="320">
        <f ca="1">SUM($C$36:AU36)</f>
        <v>9114751.0721057132</v>
      </c>
      <c r="AV41" s="320">
        <f ca="1">SUM($C$36:AV36)</f>
        <v>9114751.0721057132</v>
      </c>
      <c r="AW41" s="320">
        <f ca="1">SUM($C$36:AW36)</f>
        <v>9114751.0721057132</v>
      </c>
      <c r="AX41" s="320">
        <f ca="1">SUM($C$36:AX36)</f>
        <v>9114751.0721057132</v>
      </c>
      <c r="AY41" s="320">
        <f ca="1">SUM($C$36:AY36)</f>
        <v>9114751.0721057132</v>
      </c>
      <c r="AZ41" s="320">
        <f ca="1">SUM($C$36:AZ36)</f>
        <v>9114751.0721057132</v>
      </c>
      <c r="BA41" s="320">
        <f ca="1">SUM($C$36:BA36)</f>
        <v>9114751.0721057132</v>
      </c>
      <c r="BB41" s="320">
        <f ca="1">SUM($C$36:BB36)</f>
        <v>9114751.0721057132</v>
      </c>
      <c r="BC41" s="320">
        <f ca="1">SUM($C$36:BC36)</f>
        <v>9114751.0721057132</v>
      </c>
      <c r="BD41" s="320">
        <f ca="1">SUM($C$36:BD36)</f>
        <v>9114751.0721057132</v>
      </c>
      <c r="BE41" s="320">
        <f ca="1">SUM($C$36:BE36)</f>
        <v>9114751.0721057132</v>
      </c>
      <c r="BF41" s="320">
        <f ca="1">SUM($C$36:BF36)</f>
        <v>9114751.0721057132</v>
      </c>
      <c r="BG41" s="320">
        <f ca="1">SUM($C$36:BG36)</f>
        <v>9114751.0721057132</v>
      </c>
      <c r="BH41" s="320">
        <f ca="1">SUM($C$36:BH36)</f>
        <v>9114751.0721057132</v>
      </c>
      <c r="BI41" s="320">
        <f ca="1">SUM($C$36:BI36)</f>
        <v>9114751.0721057132</v>
      </c>
      <c r="BJ41" s="320">
        <f ca="1">SUM($C$36:BJ36)</f>
        <v>9114751.0721057132</v>
      </c>
      <c r="BK41" s="320"/>
    </row>
    <row r="60" spans="2:9" ht="16" thickBot="1"/>
    <row r="61" spans="2:9" ht="20" thickBot="1">
      <c r="B61" s="319" t="s">
        <v>49</v>
      </c>
      <c r="C61" s="292"/>
      <c r="D61" s="292"/>
      <c r="E61" s="292"/>
      <c r="F61" s="292"/>
      <c r="G61" s="292"/>
      <c r="H61" s="292"/>
      <c r="I61" s="293"/>
    </row>
    <row r="62" spans="2:9" ht="16" thickTop="1">
      <c r="B62" s="294"/>
      <c r="C62" s="119"/>
      <c r="D62" s="119"/>
      <c r="E62" s="119"/>
      <c r="F62" s="119"/>
      <c r="G62" s="119"/>
      <c r="H62" s="119"/>
      <c r="I62" s="295"/>
    </row>
    <row r="63" spans="2:9">
      <c r="B63" s="294"/>
      <c r="C63" s="382"/>
      <c r="D63" s="383" t="s">
        <v>285</v>
      </c>
      <c r="E63" s="383" t="s">
        <v>281</v>
      </c>
      <c r="F63" s="388" t="s">
        <v>49</v>
      </c>
      <c r="G63" s="384"/>
      <c r="H63" s="385"/>
      <c r="I63" s="295"/>
    </row>
    <row r="64" spans="2:9">
      <c r="B64" s="294"/>
      <c r="C64" s="386" t="s">
        <v>27</v>
      </c>
      <c r="D64" s="379">
        <f>Summary!D31</f>
        <v>12</v>
      </c>
      <c r="E64" s="379">
        <f>Summary!D48</f>
        <v>18</v>
      </c>
      <c r="F64" s="389">
        <f>(E64-D64)/E64</f>
        <v>0.33333333333333331</v>
      </c>
      <c r="G64" s="390" t="s">
        <v>286</v>
      </c>
      <c r="H64" s="376"/>
      <c r="I64" s="295"/>
    </row>
    <row r="65" spans="2:9">
      <c r="B65" s="294"/>
      <c r="C65" s="386" t="s">
        <v>181</v>
      </c>
      <c r="D65" s="380">
        <f ca="1">Summary!D45</f>
        <v>0.22957426905632022</v>
      </c>
      <c r="E65" s="380">
        <f ca="1">Summary!D62</f>
        <v>0.18366282582283019</v>
      </c>
      <c r="F65" s="391">
        <f ca="1">(D65-E65)/E65</f>
        <v>0.24997678777837365</v>
      </c>
      <c r="G65" s="392" t="s">
        <v>287</v>
      </c>
      <c r="H65" s="377"/>
      <c r="I65" s="295"/>
    </row>
    <row r="66" spans="2:9">
      <c r="B66" s="294"/>
      <c r="C66" s="387" t="s">
        <v>288</v>
      </c>
      <c r="D66" s="381">
        <f ca="1">SUM(Inputs!K49,Inputs!K51)</f>
        <v>1337145.0793995967</v>
      </c>
      <c r="E66" s="381">
        <f ca="1">SUM(Inputs!R49,Inputs!R51)</f>
        <v>1421682.1535054329</v>
      </c>
      <c r="F66" s="393">
        <f ca="1">(E66-D66)/E66</f>
        <v>5.9462710351532284E-2</v>
      </c>
      <c r="G66" s="394" t="s">
        <v>289</v>
      </c>
      <c r="H66" s="378"/>
      <c r="I66" s="295"/>
    </row>
    <row r="67" spans="2:9" ht="16" thickBot="1">
      <c r="B67" s="311"/>
      <c r="C67" s="312"/>
      <c r="D67" s="312"/>
      <c r="E67" s="312"/>
      <c r="F67" s="312"/>
      <c r="G67" s="312"/>
      <c r="H67" s="312"/>
      <c r="I67" s="31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6D4A-4D80-42F0-B5A9-0DD4CE6AFDD9}">
  <dimension ref="A1:AC9"/>
  <sheetViews>
    <sheetView zoomScale="80" zoomScaleNormal="80" workbookViewId="0">
      <selection activeCell="T26" sqref="T26"/>
    </sheetView>
  </sheetViews>
  <sheetFormatPr baseColWidth="10" defaultColWidth="35.5" defaultRowHeight="15"/>
  <cols>
    <col min="1" max="1" width="2.5" bestFit="1" customWidth="1"/>
    <col min="2" max="2" width="33.83203125" customWidth="1"/>
    <col min="3" max="3" width="37.83203125" customWidth="1"/>
    <col min="4" max="4" width="8.5" bestFit="1" customWidth="1"/>
    <col min="5" max="5" width="7.5" bestFit="1" customWidth="1"/>
    <col min="6" max="6" width="6.5" bestFit="1" customWidth="1"/>
    <col min="7" max="7" width="7.5" bestFit="1" customWidth="1"/>
    <col min="8" max="8" width="13.83203125" bestFit="1" customWidth="1"/>
    <col min="9" max="9" width="7.5" bestFit="1" customWidth="1"/>
    <col min="10" max="10" width="6.5" bestFit="1" customWidth="1"/>
    <col min="11" max="11" width="7.5" bestFit="1" customWidth="1"/>
    <col min="12" max="12" width="13.83203125" bestFit="1" customWidth="1"/>
    <col min="13" max="13" width="7.5" bestFit="1" customWidth="1"/>
    <col min="14" max="14" width="6.5" bestFit="1" customWidth="1"/>
    <col min="15" max="15" width="8.1640625" bestFit="1" customWidth="1"/>
    <col min="16" max="16" width="13.83203125" bestFit="1" customWidth="1"/>
    <col min="17" max="17" width="7.5" bestFit="1" customWidth="1"/>
    <col min="18" max="18" width="5.83203125" bestFit="1" customWidth="1"/>
    <col min="19" max="19" width="8.5" bestFit="1" customWidth="1"/>
    <col min="20" max="20" width="12.5" bestFit="1" customWidth="1"/>
    <col min="21" max="22" width="8.5" bestFit="1" customWidth="1"/>
    <col min="23" max="23" width="21.5" customWidth="1"/>
    <col min="24" max="24" width="5.5" bestFit="1" customWidth="1"/>
    <col min="25" max="28" width="17.1640625" customWidth="1"/>
    <col min="29" max="29" width="104.5" bestFit="1" customWidth="1"/>
  </cols>
  <sheetData>
    <row r="1" spans="1:29" ht="16">
      <c r="A1" s="458" t="s">
        <v>290</v>
      </c>
      <c r="B1" s="459"/>
      <c r="C1" s="94"/>
      <c r="D1" s="74"/>
      <c r="E1" s="75"/>
      <c r="F1" s="455" t="s">
        <v>291</v>
      </c>
      <c r="G1" s="457"/>
      <c r="H1" s="457"/>
      <c r="I1" s="456"/>
      <c r="J1" s="455" t="s">
        <v>292</v>
      </c>
      <c r="K1" s="457"/>
      <c r="L1" s="457"/>
      <c r="M1" s="456"/>
      <c r="N1" s="455" t="s">
        <v>293</v>
      </c>
      <c r="O1" s="457"/>
      <c r="P1" s="457"/>
      <c r="Q1" s="456"/>
      <c r="R1" s="455" t="s">
        <v>294</v>
      </c>
      <c r="S1" s="457"/>
      <c r="T1" s="457"/>
      <c r="U1" s="456"/>
      <c r="V1" s="455" t="s">
        <v>295</v>
      </c>
      <c r="W1" s="456"/>
      <c r="X1" s="455" t="s">
        <v>296</v>
      </c>
      <c r="Y1" s="457"/>
      <c r="Z1" s="457"/>
      <c r="AA1" s="457"/>
      <c r="AB1" s="457"/>
      <c r="AC1" s="73" t="s">
        <v>297</v>
      </c>
    </row>
    <row r="2" spans="1:29" ht="16">
      <c r="A2" s="78" t="s">
        <v>298</v>
      </c>
      <c r="B2" s="79" t="s">
        <v>299</v>
      </c>
      <c r="C2" s="79" t="s">
        <v>3</v>
      </c>
      <c r="D2" s="80" t="s">
        <v>300</v>
      </c>
      <c r="E2" s="81" t="s">
        <v>301</v>
      </c>
      <c r="F2" s="78" t="s">
        <v>302</v>
      </c>
      <c r="G2" s="80" t="s">
        <v>260</v>
      </c>
      <c r="H2" s="80" t="s">
        <v>303</v>
      </c>
      <c r="I2" s="81" t="s">
        <v>304</v>
      </c>
      <c r="J2" s="78" t="s">
        <v>302</v>
      </c>
      <c r="K2" s="80" t="s">
        <v>260</v>
      </c>
      <c r="L2" s="80" t="s">
        <v>303</v>
      </c>
      <c r="M2" s="81" t="s">
        <v>304</v>
      </c>
      <c r="N2" s="78" t="s">
        <v>302</v>
      </c>
      <c r="O2" s="80" t="s">
        <v>260</v>
      </c>
      <c r="P2" s="80" t="s">
        <v>303</v>
      </c>
      <c r="Q2" s="81" t="s">
        <v>304</v>
      </c>
      <c r="R2" s="78" t="s">
        <v>302</v>
      </c>
      <c r="S2" s="80" t="s">
        <v>260</v>
      </c>
      <c r="T2" s="80" t="s">
        <v>303</v>
      </c>
      <c r="U2" s="81" t="s">
        <v>304</v>
      </c>
      <c r="V2" s="78" t="s">
        <v>305</v>
      </c>
      <c r="W2" s="81" t="s">
        <v>260</v>
      </c>
      <c r="X2" s="78" t="s">
        <v>306</v>
      </c>
      <c r="Y2" s="80" t="s">
        <v>307</v>
      </c>
      <c r="Z2" s="80" t="s">
        <v>308</v>
      </c>
      <c r="AA2" s="80" t="s">
        <v>309</v>
      </c>
      <c r="AB2" s="80" t="s">
        <v>310</v>
      </c>
      <c r="AC2" s="81"/>
    </row>
    <row r="3" spans="1:29">
      <c r="A3" s="76">
        <v>1</v>
      </c>
      <c r="B3" s="61"/>
      <c r="C3" s="61"/>
      <c r="D3" s="9"/>
      <c r="E3" s="77"/>
      <c r="F3" s="1"/>
      <c r="H3" s="63"/>
      <c r="I3" s="68"/>
      <c r="J3" s="1"/>
      <c r="L3" s="63"/>
      <c r="M3" s="68"/>
      <c r="N3" s="67"/>
      <c r="P3" s="63"/>
      <c r="Q3" s="68"/>
      <c r="R3" s="67"/>
      <c r="T3" s="63"/>
      <c r="U3" s="68"/>
      <c r="V3" s="95"/>
      <c r="W3" s="3"/>
      <c r="X3" s="87"/>
      <c r="Y3" s="88"/>
      <c r="Z3" s="88"/>
      <c r="AA3" s="88"/>
      <c r="AB3" s="88"/>
      <c r="AC3" s="3"/>
    </row>
    <row r="4" spans="1:29">
      <c r="A4" s="76">
        <f>A3+1</f>
        <v>2</v>
      </c>
      <c r="B4" s="61"/>
      <c r="C4" s="61"/>
      <c r="D4" s="62"/>
      <c r="E4" s="77"/>
      <c r="F4" s="69"/>
      <c r="G4" s="64"/>
      <c r="H4" s="63"/>
      <c r="I4" s="68"/>
      <c r="J4" s="69"/>
      <c r="K4" s="65"/>
      <c r="L4" s="63"/>
      <c r="M4" s="68"/>
      <c r="N4" s="69"/>
      <c r="O4" s="66"/>
      <c r="P4" s="63"/>
      <c r="Q4" s="68"/>
      <c r="R4" s="69"/>
      <c r="S4" s="66"/>
      <c r="T4" s="63"/>
      <c r="U4" s="68"/>
      <c r="V4" s="95"/>
      <c r="W4" s="3"/>
      <c r="X4" s="87"/>
      <c r="Y4" s="88"/>
      <c r="Z4" s="88"/>
      <c r="AA4" s="88"/>
      <c r="AB4" s="88"/>
      <c r="AC4" s="3"/>
    </row>
    <row r="5" spans="1:29">
      <c r="A5" s="76">
        <f>A4+1</f>
        <v>3</v>
      </c>
      <c r="B5" s="61"/>
      <c r="C5" s="61"/>
      <c r="D5" s="62"/>
      <c r="E5" s="77"/>
      <c r="F5" s="69"/>
      <c r="G5" s="64"/>
      <c r="H5" s="63"/>
      <c r="I5" s="68"/>
      <c r="J5" s="69"/>
      <c r="K5" s="64"/>
      <c r="L5" s="63"/>
      <c r="M5" s="68"/>
      <c r="N5" s="69"/>
      <c r="O5" s="66"/>
      <c r="P5" s="63"/>
      <c r="Q5" s="68"/>
      <c r="R5" s="69"/>
      <c r="S5" s="66"/>
      <c r="T5" s="63"/>
      <c r="U5" s="68"/>
      <c r="V5" s="95"/>
      <c r="W5" s="3"/>
      <c r="X5" s="87"/>
      <c r="Y5" s="88"/>
      <c r="Z5" s="88"/>
      <c r="AA5" s="88"/>
      <c r="AB5" s="88"/>
      <c r="AC5" s="3"/>
    </row>
    <row r="6" spans="1:29">
      <c r="A6" s="76">
        <f>A5+1</f>
        <v>4</v>
      </c>
      <c r="B6" s="61"/>
      <c r="C6" s="61"/>
      <c r="D6" s="62"/>
      <c r="E6" s="77"/>
      <c r="F6" s="69"/>
      <c r="G6" s="64"/>
      <c r="H6" s="63"/>
      <c r="I6" s="68"/>
      <c r="J6" s="69"/>
      <c r="K6" s="64"/>
      <c r="L6" s="63"/>
      <c r="M6" s="68"/>
      <c r="N6" s="69"/>
      <c r="O6" s="66"/>
      <c r="P6" s="63"/>
      <c r="Q6" s="68"/>
      <c r="R6" s="69"/>
      <c r="S6" s="66"/>
      <c r="T6" s="63"/>
      <c r="U6" s="68"/>
      <c r="V6" s="71"/>
      <c r="W6" s="68"/>
      <c r="X6" s="87"/>
      <c r="Y6" s="88"/>
      <c r="Z6" s="88"/>
      <c r="AA6" s="88"/>
      <c r="AB6" s="88"/>
      <c r="AC6" s="3"/>
    </row>
    <row r="7" spans="1:29">
      <c r="A7" s="76">
        <f>A6+1</f>
        <v>5</v>
      </c>
      <c r="B7" s="61"/>
      <c r="C7" s="61"/>
      <c r="D7" s="62"/>
      <c r="E7" s="77"/>
      <c r="F7" s="69"/>
      <c r="G7" s="64"/>
      <c r="H7" s="63"/>
      <c r="I7" s="70"/>
      <c r="J7" s="69"/>
      <c r="K7" s="64"/>
      <c r="L7" s="63"/>
      <c r="M7" s="70"/>
      <c r="N7" s="69"/>
      <c r="O7" s="66"/>
      <c r="P7" s="63"/>
      <c r="Q7" s="68"/>
      <c r="R7" s="69"/>
      <c r="S7" s="66"/>
      <c r="T7" s="63"/>
      <c r="U7" s="68"/>
      <c r="V7" s="72"/>
      <c r="W7" s="70"/>
      <c r="X7" s="87"/>
      <c r="Y7" s="89"/>
      <c r="Z7" s="68"/>
      <c r="AA7" s="68"/>
      <c r="AB7" s="68"/>
      <c r="AC7" s="3"/>
    </row>
    <row r="8" spans="1:29">
      <c r="A8" s="76">
        <f>A7+1</f>
        <v>6</v>
      </c>
      <c r="B8" s="61"/>
      <c r="C8" s="61"/>
      <c r="D8" s="62"/>
      <c r="E8" s="77"/>
      <c r="F8" s="69"/>
      <c r="G8" s="64"/>
      <c r="H8" s="63"/>
      <c r="I8" s="70"/>
      <c r="J8" s="69"/>
      <c r="K8" s="65"/>
      <c r="L8" s="63"/>
      <c r="M8" s="68"/>
      <c r="N8" s="69"/>
      <c r="O8" s="66"/>
      <c r="P8" s="63"/>
      <c r="Q8" s="68"/>
      <c r="R8" s="69"/>
      <c r="S8" s="66"/>
      <c r="T8" s="63"/>
      <c r="U8" s="68"/>
      <c r="V8" s="71"/>
      <c r="W8" s="68"/>
      <c r="X8" s="87"/>
      <c r="Y8" s="90"/>
      <c r="Z8" s="68"/>
      <c r="AA8" s="68"/>
      <c r="AB8" s="68"/>
      <c r="AC8" s="3"/>
    </row>
    <row r="9" spans="1:29" ht="16">
      <c r="A9" s="54"/>
      <c r="B9" s="55" t="s">
        <v>311</v>
      </c>
      <c r="C9" s="55"/>
      <c r="D9" s="56"/>
      <c r="E9" s="82"/>
      <c r="F9" s="83"/>
      <c r="G9" s="57" t="e">
        <f>AVERAGE(G3:G8)</f>
        <v>#DIV/0!</v>
      </c>
      <c r="H9" s="57" t="e">
        <f>AVERAGE(H3:H8)</f>
        <v>#DIV/0!</v>
      </c>
      <c r="I9" s="84" t="e">
        <f>AVERAGE(I3:I8)</f>
        <v>#DIV/0!</v>
      </c>
      <c r="J9" s="83"/>
      <c r="K9" s="57" t="e">
        <f>AVERAGE(K3:K8)</f>
        <v>#DIV/0!</v>
      </c>
      <c r="L9" s="57" t="e">
        <f>AVERAGE(L3:L8)</f>
        <v>#DIV/0!</v>
      </c>
      <c r="M9" s="84" t="e">
        <f>AVERAGE(M3:M8)</f>
        <v>#DIV/0!</v>
      </c>
      <c r="N9" s="83"/>
      <c r="O9" s="57" t="e">
        <f>AVERAGE(O3:O8)</f>
        <v>#DIV/0!</v>
      </c>
      <c r="P9" s="57" t="e">
        <f>AVERAGE(P3:P8)</f>
        <v>#DIV/0!</v>
      </c>
      <c r="Q9" s="84" t="e">
        <f>AVERAGE(Q3:Q8)</f>
        <v>#DIV/0!</v>
      </c>
      <c r="R9" s="83"/>
      <c r="S9" s="57" t="e">
        <f>AVERAGE(S3:S8)</f>
        <v>#DIV/0!</v>
      </c>
      <c r="T9" s="57" t="e">
        <f>AVERAGE(T3:T8)</f>
        <v>#DIV/0!</v>
      </c>
      <c r="U9" s="84" t="e">
        <f>AVERAGE(U3:U8)</f>
        <v>#DIV/0!</v>
      </c>
      <c r="V9" s="85"/>
      <c r="W9" s="86"/>
      <c r="X9" s="85"/>
      <c r="Y9" s="57" t="e">
        <f>SUMIF(Y3:Y8,"&gt;0",Y3:Y8)/COUNTIF(Y3:Y8,"&gt;0")</f>
        <v>#DIV/0!</v>
      </c>
      <c r="Z9" s="57" t="e">
        <f>SUMIF(Z3:Z8,"&gt;0",Z3:Z8)/COUNTIF(Z3:Z8,"&gt;0")</f>
        <v>#DIV/0!</v>
      </c>
      <c r="AA9" s="57" t="e">
        <f>SUMIF(AA3:AA8,"&gt;0",AA3:AA8)/COUNTIF(AA3:AA8,"&gt;0")</f>
        <v>#DIV/0!</v>
      </c>
      <c r="AB9" s="57" t="e">
        <f>SUMIF(AB3:AB8,"&gt;0",AB3:AB8)/COUNTIF(AB3:AB8,"&gt;0")</f>
        <v>#DIV/0!</v>
      </c>
      <c r="AC9" s="86"/>
    </row>
  </sheetData>
  <mergeCells count="7">
    <mergeCell ref="V1:W1"/>
    <mergeCell ref="X1:AB1"/>
    <mergeCell ref="A1:B1"/>
    <mergeCell ref="F1:I1"/>
    <mergeCell ref="J1:M1"/>
    <mergeCell ref="N1:Q1"/>
    <mergeCell ref="R1:U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177A-4F37-4E1D-88F7-5BD5ADF464B2}">
  <dimension ref="A1:E9"/>
  <sheetViews>
    <sheetView workbookViewId="0">
      <selection activeCell="C35" sqref="C35"/>
    </sheetView>
  </sheetViews>
  <sheetFormatPr baseColWidth="10" defaultColWidth="8.83203125" defaultRowHeight="15"/>
  <cols>
    <col min="1" max="1" width="28" bestFit="1" customWidth="1"/>
    <col min="3" max="3" width="60.5" customWidth="1"/>
  </cols>
  <sheetData>
    <row r="1" spans="1:5">
      <c r="A1" s="5"/>
      <c r="B1" s="5"/>
      <c r="C1" s="5"/>
      <c r="D1" s="5"/>
    </row>
    <row r="2" spans="1:5">
      <c r="B2" s="91"/>
      <c r="C2" s="91"/>
      <c r="D2" s="92"/>
    </row>
    <row r="3" spans="1:5">
      <c r="B3" s="6"/>
      <c r="C3" s="6"/>
      <c r="D3" s="92"/>
      <c r="E3" s="60"/>
    </row>
    <row r="4" spans="1:5">
      <c r="B4" s="93"/>
    </row>
    <row r="5" spans="1:5">
      <c r="B5" s="93"/>
      <c r="D5" s="92"/>
    </row>
    <row r="6" spans="1:5">
      <c r="B6" s="91"/>
      <c r="C6" s="91"/>
      <c r="D6" s="92"/>
    </row>
    <row r="7" spans="1:5">
      <c r="B7" s="6"/>
      <c r="D7" s="92"/>
    </row>
    <row r="9" spans="1:5">
      <c r="D9" s="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5F4BF900994A4BAC148D15F44B9E04" ma:contentTypeVersion="15" ma:contentTypeDescription="Create a new document." ma:contentTypeScope="" ma:versionID="f67ba3ad92fa03ce9a7fece6b97807f0">
  <xsd:schema xmlns:xsd="http://www.w3.org/2001/XMLSchema" xmlns:xs="http://www.w3.org/2001/XMLSchema" xmlns:p="http://schemas.microsoft.com/office/2006/metadata/properties" xmlns:ns2="e1f6ec56-9f22-425f-a979-71133cb0a889" xmlns:ns3="6acb6664-b18b-422d-a4d2-c029467d6ce9" targetNamespace="http://schemas.microsoft.com/office/2006/metadata/properties" ma:root="true" ma:fieldsID="83541554919cb5c5dd921951afc4afb5" ns2:_="" ns3:_="">
    <xsd:import namespace="e1f6ec56-9f22-425f-a979-71133cb0a889"/>
    <xsd:import namespace="6acb6664-b18b-422d-a4d2-c029467d6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6ec56-9f22-425f-a979-71133cb0a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177fc93-3684-4f9b-9c39-27c7ef918f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b6664-b18b-422d-a4d2-c029467d6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4a86fc-c7b3-4bd9-a009-2fb48bb2e1dc}" ma:internalName="TaxCatchAll" ma:showField="CatchAllData" ma:web="6acb6664-b18b-422d-a4d2-c029467d6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cb6664-b18b-422d-a4d2-c029467d6ce9" xsi:nil="true"/>
    <lcf76f155ced4ddcb4097134ff3c332f xmlns="e1f6ec56-9f22-425f-a979-71133cb0a889">
      <Terms xmlns="http://schemas.microsoft.com/office/infopath/2007/PartnerControls"/>
    </lcf76f155ced4ddcb4097134ff3c332f>
    <SharedWithUsers xmlns="6acb6664-b18b-422d-a4d2-c029467d6ce9">
      <UserInfo>
        <DisplayName>Michael Palmer</DisplayName>
        <AccountId>29</AccountId>
        <AccountType/>
      </UserInfo>
      <UserInfo>
        <DisplayName>David Fetzer</DisplayName>
        <AccountId>15</AccountId>
        <AccountType/>
      </UserInfo>
      <UserInfo>
        <DisplayName>Ryan Briglia</DisplayName>
        <AccountId>360</AccountId>
        <AccountType/>
      </UserInfo>
      <UserInfo>
        <DisplayName>Helena Lidelow</DisplayName>
        <AccountId>1285</AccountId>
        <AccountType/>
      </UserInfo>
      <UserInfo>
        <DisplayName>Wojciech  Chyrek</DisplayName>
        <AccountId>1286</AccountId>
        <AccountType/>
      </UserInfo>
      <UserInfo>
        <DisplayName>David Johnson</DisplayName>
        <AccountId>1287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8F305-48C9-4F4C-AD5F-1E3575586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6ec56-9f22-425f-a979-71133cb0a889"/>
    <ds:schemaRef ds:uri="6acb6664-b18b-422d-a4d2-c029467d6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335107-713B-4E49-BB95-CACB819C8C9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e1f6ec56-9f22-425f-a979-71133cb0a889"/>
    <ds:schemaRef ds:uri="http://purl.org/dc/dcmitype/"/>
    <ds:schemaRef ds:uri="6acb6664-b18b-422d-a4d2-c029467d6ce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549340-3BC7-4A6C-91E9-83A6775EA6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Inputs</vt:lpstr>
      <vt:lpstr>Bldg Layout</vt:lpstr>
      <vt:lpstr>Zoning</vt:lpstr>
      <vt:lpstr>Cash Flow - Modular</vt:lpstr>
      <vt:lpstr>Cash Flow - Traditional</vt:lpstr>
      <vt:lpstr>Pricing Data</vt:lpstr>
      <vt:lpstr>Graphics</vt:lpstr>
      <vt:lpstr>Comps</vt:lpstr>
      <vt:lpstr>Assumptions</vt:lpstr>
      <vt:lpstr>modularhardcost</vt:lpstr>
      <vt:lpstr>Summary!Print_Area</vt:lpstr>
      <vt:lpstr>traditionalhardcost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Briglia</dc:creator>
  <cp:keywords/>
  <dc:description/>
  <cp:lastModifiedBy>Kylie Clark</cp:lastModifiedBy>
  <cp:revision/>
  <dcterms:created xsi:type="dcterms:W3CDTF">2022-12-13T13:49:00Z</dcterms:created>
  <dcterms:modified xsi:type="dcterms:W3CDTF">2024-07-17T22:01:17Z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0x010100AD5F4BF900994A4BAC148D15F44B9E04</vt:lpwstr>
  </property>
  <property fmtid="{D5CDD505-2E9C-101B-9397-08002B2CF9AE}" pid="3" name="MediaServiceImageTags">
    <vt:lpwstr/>
  </property>
</Properties>
</file>