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ylieclark/Downloads/"/>
    </mc:Choice>
  </mc:AlternateContent>
  <xr:revisionPtr revIDLastSave="0" documentId="13_ncr:1_{6BF685D8-2C86-894F-850D-BF53D56922FB}" xr6:coauthVersionLast="47" xr6:coauthVersionMax="47" xr10:uidLastSave="{00000000-0000-0000-0000-000000000000}"/>
  <bookViews>
    <workbookView xWindow="0" yWindow="500" windowWidth="19420" windowHeight="10420" tabRatio="838" xr2:uid="{D2C6E2FA-5232-4916-978D-EE25D32BCF42}"/>
  </bookViews>
  <sheets>
    <sheet name="Summary" sheetId="14" r:id="rId1"/>
    <sheet name="Inputs" sheetId="1" r:id="rId2"/>
    <sheet name="Bldg Layout" sheetId="7" state="hidden" r:id="rId3"/>
    <sheet name="Zoning" sheetId="8" state="hidden" r:id="rId4"/>
    <sheet name="Cash Flow - Modular" sheetId="2" r:id="rId5"/>
    <sheet name="Cash Flow - Traditional" sheetId="15" r:id="rId6"/>
    <sheet name="Pricing Data" sheetId="17" state="hidden" r:id="rId7"/>
    <sheet name="Graphics" sheetId="16" state="hidden" r:id="rId8"/>
    <sheet name="Comps" sheetId="4" state="hidden" r:id="rId9"/>
    <sheet name="Assumptions" sheetId="5" state="hidden" r:id="rId10"/>
  </sheets>
  <definedNames>
    <definedName name="Actual">(PeriodInActual*(#REF!&gt;0))*PeriodInPlan</definedName>
    <definedName name="ActualBeyond">PeriodInActual*(#REF!&gt;0)</definedName>
    <definedName name="modularhardcost">Inputs!$K$30</definedName>
    <definedName name="PercentComplete">PercentCompleteBeyond*PeriodInPlan</definedName>
    <definedName name="PercentCompleteBeyond">(#REF!=MEDIAN(#REF!,#REF!,#REF!+#REF!)*(#REF!&gt;0))*((#REF!&lt;(INT(#REF!+#REF!*#REF!)))+(#REF!=#REF!))*(#REF!&gt;0)</definedName>
    <definedName name="period_selected">#REF!</definedName>
    <definedName name="PeriodInActual">#REF!=MEDIAN(#REF!,#REF!,#REF!+#REF!-1)</definedName>
    <definedName name="PeriodInPlan">#REF!=MEDIAN(#REF!,#REF!,#REF!+#REF!-1)</definedName>
    <definedName name="Plan">PeriodInPlan*(#REF!&gt;0)</definedName>
    <definedName name="_xlnm.Print_Area" localSheetId="0">Summary!$A$1:$D$87</definedName>
    <definedName name="traditionalhardcost">Inputs!$R$30</definedName>
  </definedNames>
  <calcPr calcId="191028" calcMode="autoNoTable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F29" i="1" l="1"/>
  <c r="F28" i="1"/>
  <c r="F27" i="1"/>
  <c r="F26" i="1"/>
  <c r="F25" i="1"/>
  <c r="F32" i="1"/>
  <c r="C30" i="1"/>
  <c r="B30" i="1"/>
  <c r="D30" i="1" s="1"/>
  <c r="F30" i="1" s="1"/>
  <c r="E29" i="1"/>
  <c r="E28" i="1"/>
  <c r="E27" i="1"/>
  <c r="E26" i="1"/>
  <c r="E25" i="1"/>
  <c r="F41" i="1" s="1"/>
  <c r="D10" i="14"/>
  <c r="B7" i="14" s="1"/>
  <c r="B29" i="17"/>
  <c r="D29" i="17" s="1"/>
  <c r="D30" i="17"/>
  <c r="Q19" i="1"/>
  <c r="J19" i="1"/>
  <c r="B18" i="17"/>
  <c r="D18" i="17" s="1"/>
  <c r="D6" i="17"/>
  <c r="D17" i="17"/>
  <c r="D16" i="17"/>
  <c r="D15" i="17"/>
  <c r="D14" i="17"/>
  <c r="D13" i="17"/>
  <c r="B23" i="17" s="1"/>
  <c r="D12" i="17"/>
  <c r="D10" i="17"/>
  <c r="D9" i="17"/>
  <c r="D5" i="17"/>
  <c r="L49" i="14"/>
  <c r="O49" i="14" s="1"/>
  <c r="H56" i="14"/>
  <c r="H55" i="14"/>
  <c r="H54" i="14"/>
  <c r="H52" i="14"/>
  <c r="H51" i="14"/>
  <c r="H50" i="14"/>
  <c r="R92" i="1"/>
  <c r="R91" i="1"/>
  <c r="S41" i="1"/>
  <c r="C18" i="15"/>
  <c r="D49" i="14"/>
  <c r="D47" i="14"/>
  <c r="E64" i="16" s="1"/>
  <c r="D30" i="14"/>
  <c r="D64" i="16" s="1"/>
  <c r="C25" i="14"/>
  <c r="B59" i="15"/>
  <c r="C59" i="15" s="1"/>
  <c r="B49" i="15"/>
  <c r="C14" i="15"/>
  <c r="C15" i="15" s="1"/>
  <c r="S89" i="1"/>
  <c r="S90" i="1" s="1"/>
  <c r="S93" i="1" s="1"/>
  <c r="R88" i="1"/>
  <c r="R89" i="1" s="1"/>
  <c r="C26" i="14" s="1"/>
  <c r="L89" i="1"/>
  <c r="D20" i="14" s="1"/>
  <c r="E20" i="14" s="1"/>
  <c r="L41" i="1"/>
  <c r="K16" i="1"/>
  <c r="D14" i="14" s="1"/>
  <c r="K15" i="1"/>
  <c r="D8" i="15"/>
  <c r="D18" i="15" s="1"/>
  <c r="E8" i="15"/>
  <c r="E18" i="15" s="1"/>
  <c r="F8" i="15"/>
  <c r="F18" i="15" s="1"/>
  <c r="BK15" i="15"/>
  <c r="BJ15" i="15"/>
  <c r="BI15" i="15"/>
  <c r="BH15" i="15"/>
  <c r="BG15" i="15"/>
  <c r="BF15" i="15"/>
  <c r="BE15" i="15"/>
  <c r="BD15" i="15"/>
  <c r="BC15" i="15"/>
  <c r="BB15" i="15"/>
  <c r="BA15" i="15"/>
  <c r="AZ15" i="15"/>
  <c r="AY15" i="15"/>
  <c r="AX15" i="15"/>
  <c r="AW15" i="15"/>
  <c r="AV15" i="15"/>
  <c r="AU15" i="15"/>
  <c r="AT15" i="15"/>
  <c r="AS15" i="15"/>
  <c r="AR15" i="15"/>
  <c r="AQ15" i="15"/>
  <c r="AP15" i="15"/>
  <c r="AO15" i="15"/>
  <c r="AN15" i="15"/>
  <c r="AM15" i="15"/>
  <c r="AL15" i="15"/>
  <c r="AK15" i="15"/>
  <c r="AJ15" i="15"/>
  <c r="AI15" i="15"/>
  <c r="AH15" i="15"/>
  <c r="AG15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B79" i="15"/>
  <c r="B76" i="15"/>
  <c r="F10" i="15"/>
  <c r="E10" i="15"/>
  <c r="D10" i="15"/>
  <c r="BK85" i="15"/>
  <c r="BJ85" i="15"/>
  <c r="BI85" i="15"/>
  <c r="BH85" i="15"/>
  <c r="BG85" i="15"/>
  <c r="BF85" i="15"/>
  <c r="BE85" i="15"/>
  <c r="BD85" i="15"/>
  <c r="BC85" i="15"/>
  <c r="BB85" i="15"/>
  <c r="BA85" i="15"/>
  <c r="AZ85" i="15"/>
  <c r="AY85" i="15"/>
  <c r="AX85" i="15"/>
  <c r="AW85" i="15"/>
  <c r="AV85" i="15"/>
  <c r="AU85" i="15"/>
  <c r="AT85" i="15"/>
  <c r="AS85" i="15"/>
  <c r="AR85" i="15"/>
  <c r="AQ85" i="15"/>
  <c r="AP85" i="15"/>
  <c r="AO85" i="15"/>
  <c r="AN85" i="15"/>
  <c r="AM85" i="15"/>
  <c r="AL85" i="15"/>
  <c r="AK85" i="15"/>
  <c r="AJ85" i="15"/>
  <c r="AI85" i="15"/>
  <c r="AH85" i="15"/>
  <c r="AG85" i="15"/>
  <c r="AF85" i="15"/>
  <c r="AE85" i="15"/>
  <c r="AD85" i="15"/>
  <c r="AC85" i="15"/>
  <c r="AB85" i="15"/>
  <c r="AA85" i="15"/>
  <c r="Z85" i="15"/>
  <c r="Y85" i="15"/>
  <c r="X85" i="15"/>
  <c r="W85" i="15"/>
  <c r="V85" i="15"/>
  <c r="U85" i="15"/>
  <c r="T85" i="15"/>
  <c r="S85" i="15"/>
  <c r="R85" i="15"/>
  <c r="Q85" i="15"/>
  <c r="P85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7" i="15"/>
  <c r="D7" i="15" s="1"/>
  <c r="R16" i="1"/>
  <c r="R15" i="1"/>
  <c r="S23" i="1" s="1"/>
  <c r="B79" i="2"/>
  <c r="B76" i="2"/>
  <c r="D8" i="2"/>
  <c r="E8" i="2"/>
  <c r="F8" i="2" s="1"/>
  <c r="B49" i="2"/>
  <c r="BI15" i="2"/>
  <c r="BJ15" i="2"/>
  <c r="BK15" i="2"/>
  <c r="B59" i="2"/>
  <c r="C59" i="2" s="1"/>
  <c r="AQ15" i="2"/>
  <c r="AR15" i="2"/>
  <c r="AS15" i="2"/>
  <c r="AT15" i="2"/>
  <c r="AU15" i="2"/>
  <c r="AV15" i="2"/>
  <c r="AW15" i="2"/>
  <c r="AX15" i="2"/>
  <c r="AY15" i="2"/>
  <c r="J15" i="2"/>
  <c r="K15" i="2"/>
  <c r="L15" i="2"/>
  <c r="M15" i="2"/>
  <c r="N15" i="2"/>
  <c r="O15" i="2"/>
  <c r="P15" i="2"/>
  <c r="Q15" i="2"/>
  <c r="R15" i="2"/>
  <c r="E10" i="2"/>
  <c r="D10" i="2"/>
  <c r="C14" i="2"/>
  <c r="C15" i="2" s="1"/>
  <c r="C20" i="14"/>
  <c r="D32" i="14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K88" i="1"/>
  <c r="K89" i="1" s="1"/>
  <c r="Z9" i="4"/>
  <c r="AB9" i="4"/>
  <c r="U9" i="4"/>
  <c r="T9" i="4"/>
  <c r="S9" i="4"/>
  <c r="AA9" i="4"/>
  <c r="Y9" i="4"/>
  <c r="Q9" i="4"/>
  <c r="P9" i="4"/>
  <c r="O9" i="4"/>
  <c r="M9" i="4"/>
  <c r="L9" i="4"/>
  <c r="K9" i="4"/>
  <c r="H9" i="4"/>
  <c r="G9" i="4"/>
  <c r="I9" i="4"/>
  <c r="A4" i="4"/>
  <c r="A5" i="4"/>
  <c r="A6" i="4"/>
  <c r="A7" i="4"/>
  <c r="A8" i="4"/>
  <c r="D15" i="2"/>
  <c r="E15" i="2"/>
  <c r="F15" i="2"/>
  <c r="G15" i="2"/>
  <c r="H15" i="2"/>
  <c r="I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Z15" i="2"/>
  <c r="BA15" i="2"/>
  <c r="BB15" i="2"/>
  <c r="BC15" i="2"/>
  <c r="BD15" i="2"/>
  <c r="BE15" i="2"/>
  <c r="BF15" i="2"/>
  <c r="BG15" i="2"/>
  <c r="BH15" i="2"/>
  <c r="C7" i="2"/>
  <c r="C9" i="2" s="1"/>
  <c r="G8" i="15" l="1"/>
  <c r="G8" i="2"/>
  <c r="F10" i="2"/>
  <c r="M49" i="14"/>
  <c r="W8" i="1"/>
  <c r="C35" i="1"/>
  <c r="F35" i="1" s="1"/>
  <c r="F43" i="1"/>
  <c r="F47" i="1"/>
  <c r="F49" i="1"/>
  <c r="C34" i="1"/>
  <c r="F34" i="1" s="1"/>
  <c r="F36" i="1" s="1"/>
  <c r="F48" i="1"/>
  <c r="F46" i="1"/>
  <c r="F44" i="1"/>
  <c r="F11" i="1"/>
  <c r="E30" i="1"/>
  <c r="D16" i="14"/>
  <c r="I49" i="14"/>
  <c r="J49" i="14"/>
  <c r="Q55" i="14" s="1"/>
  <c r="Q52" i="14"/>
  <c r="B22" i="17"/>
  <c r="D31" i="17"/>
  <c r="B21" i="17"/>
  <c r="G25" i="15"/>
  <c r="D7" i="17"/>
  <c r="D11" i="17"/>
  <c r="B20" i="17" s="1"/>
  <c r="K49" i="14"/>
  <c r="N49" i="14"/>
  <c r="L23" i="1"/>
  <c r="L19" i="1"/>
  <c r="R93" i="1"/>
  <c r="R94" i="1" s="1"/>
  <c r="C27" i="14" s="1"/>
  <c r="S40" i="1"/>
  <c r="L20" i="1"/>
  <c r="L91" i="1"/>
  <c r="F64" i="16"/>
  <c r="D9" i="15"/>
  <c r="E7" i="15"/>
  <c r="F7" i="15" s="1"/>
  <c r="F9" i="15" s="1"/>
  <c r="C9" i="15"/>
  <c r="D64" i="14"/>
  <c r="E25" i="15"/>
  <c r="F25" i="15"/>
  <c r="D7" i="2"/>
  <c r="D9" i="2" s="1"/>
  <c r="F9" i="1"/>
  <c r="C20" i="15"/>
  <c r="D20" i="15"/>
  <c r="D26" i="14"/>
  <c r="E26" i="14" s="1"/>
  <c r="E20" i="15"/>
  <c r="D15" i="14"/>
  <c r="C25" i="15"/>
  <c r="F20" i="15"/>
  <c r="D25" i="14"/>
  <c r="E25" i="14" s="1"/>
  <c r="D25" i="15"/>
  <c r="G20" i="15"/>
  <c r="K90" i="1"/>
  <c r="C21" i="14"/>
  <c r="S19" i="1"/>
  <c r="S21" i="1"/>
  <c r="S22" i="1"/>
  <c r="S29" i="1" s="1"/>
  <c r="R14" i="1"/>
  <c r="S20" i="1"/>
  <c r="L90" i="1"/>
  <c r="L93" i="1" s="1"/>
  <c r="K14" i="1"/>
  <c r="K24" i="1" s="1"/>
  <c r="L21" i="1"/>
  <c r="R90" i="1"/>
  <c r="S94" i="1"/>
  <c r="G18" i="15" l="1"/>
  <c r="G10" i="15"/>
  <c r="H8" i="15"/>
  <c r="H8" i="2"/>
  <c r="H20" i="2" s="1"/>
  <c r="G10" i="2"/>
  <c r="X8" i="1"/>
  <c r="Y8" i="1" s="1"/>
  <c r="Z8" i="1" s="1"/>
  <c r="AA8" i="1" s="1"/>
  <c r="AB8" i="1" s="1"/>
  <c r="AC8" i="1" s="1"/>
  <c r="AD8" i="1" s="1"/>
  <c r="AE8" i="1" s="1"/>
  <c r="F51" i="1"/>
  <c r="W11" i="1"/>
  <c r="X11" i="1" s="1"/>
  <c r="Y11" i="1" s="1"/>
  <c r="Z11" i="1" s="1"/>
  <c r="AA11" i="1" s="1"/>
  <c r="AB11" i="1" s="1"/>
  <c r="AC11" i="1" s="1"/>
  <c r="AD11" i="1" s="1"/>
  <c r="AE11" i="1" s="1"/>
  <c r="AF11" i="1" s="1"/>
  <c r="G7" i="15"/>
  <c r="H7" i="15" s="1"/>
  <c r="S33" i="1"/>
  <c r="K91" i="1"/>
  <c r="C22" i="14" s="1"/>
  <c r="L92" i="1"/>
  <c r="E9" i="15"/>
  <c r="S38" i="1"/>
  <c r="R24" i="1"/>
  <c r="S27" i="1"/>
  <c r="R27" i="1" s="1"/>
  <c r="S26" i="1"/>
  <c r="R26" i="1" s="1"/>
  <c r="K93" i="1"/>
  <c r="K94" i="1" s="1"/>
  <c r="C23" i="14" s="1"/>
  <c r="L40" i="1"/>
  <c r="E7" i="2"/>
  <c r="F7" i="2" s="1"/>
  <c r="K74" i="1"/>
  <c r="D13" i="14"/>
  <c r="S39" i="1"/>
  <c r="R74" i="1"/>
  <c r="L38" i="1"/>
  <c r="L39" i="1"/>
  <c r="F8" i="1"/>
  <c r="F10" i="1" s="1"/>
  <c r="S25" i="1"/>
  <c r="S28" i="1" s="1"/>
  <c r="R29" i="1"/>
  <c r="L94" i="1"/>
  <c r="D20" i="2"/>
  <c r="E25" i="2"/>
  <c r="G25" i="2"/>
  <c r="D25" i="2"/>
  <c r="G20" i="2"/>
  <c r="F25" i="2"/>
  <c r="F20" i="2"/>
  <c r="H25" i="2"/>
  <c r="C20" i="2"/>
  <c r="E20" i="2"/>
  <c r="D21" i="14"/>
  <c r="E21" i="14" s="1"/>
  <c r="C25" i="2"/>
  <c r="S95" i="1"/>
  <c r="W9" i="1"/>
  <c r="X9" i="1" s="1"/>
  <c r="Y9" i="1" s="1"/>
  <c r="Z9" i="1" s="1"/>
  <c r="AA9" i="1" s="1"/>
  <c r="AB9" i="1" s="1"/>
  <c r="AC9" i="1" s="1"/>
  <c r="AD9" i="1" s="1"/>
  <c r="AE9" i="1" s="1"/>
  <c r="AF9" i="1" s="1"/>
  <c r="E9" i="2"/>
  <c r="W12" i="1"/>
  <c r="X12" i="1" s="1"/>
  <c r="Y12" i="1" s="1"/>
  <c r="Z12" i="1" s="1"/>
  <c r="AA12" i="1" s="1"/>
  <c r="AB12" i="1" s="1"/>
  <c r="AC12" i="1" s="1"/>
  <c r="AD12" i="1" s="1"/>
  <c r="AE12" i="1" s="1"/>
  <c r="AF12" i="1" s="1"/>
  <c r="I8" i="15" l="1"/>
  <c r="I64" i="15" s="1"/>
  <c r="H10" i="15"/>
  <c r="H18" i="15"/>
  <c r="H19" i="15" s="1"/>
  <c r="H20" i="15"/>
  <c r="H25" i="15"/>
  <c r="H10" i="2"/>
  <c r="I8" i="2"/>
  <c r="W13" i="1"/>
  <c r="AF8" i="1"/>
  <c r="AE13" i="1"/>
  <c r="F45" i="1"/>
  <c r="W16" i="1" s="1"/>
  <c r="X16" i="1" s="1"/>
  <c r="Y16" i="1" s="1"/>
  <c r="Z16" i="1" s="1"/>
  <c r="AA16" i="1" s="1"/>
  <c r="AB16" i="1" s="1"/>
  <c r="AC16" i="1" s="1"/>
  <c r="AD16" i="1" s="1"/>
  <c r="AE16" i="1" s="1"/>
  <c r="AF16" i="1" s="1"/>
  <c r="G9" i="15"/>
  <c r="R95" i="1"/>
  <c r="C64" i="15"/>
  <c r="C65" i="15" s="1"/>
  <c r="K92" i="1"/>
  <c r="D18" i="2"/>
  <c r="D27" i="14"/>
  <c r="E27" i="14" s="1"/>
  <c r="G18" i="2"/>
  <c r="C19" i="15"/>
  <c r="F19" i="15"/>
  <c r="E64" i="15"/>
  <c r="G64" i="15"/>
  <c r="E19" i="15"/>
  <c r="F64" i="15"/>
  <c r="H64" i="15"/>
  <c r="C18" i="2"/>
  <c r="E18" i="2"/>
  <c r="F18" i="2"/>
  <c r="H18" i="2"/>
  <c r="R25" i="1"/>
  <c r="R28" i="1"/>
  <c r="D19" i="15"/>
  <c r="G7" i="2"/>
  <c r="F9" i="2"/>
  <c r="X13" i="1"/>
  <c r="X17" i="1" s="1"/>
  <c r="D64" i="15"/>
  <c r="W17" i="1"/>
  <c r="I7" i="15"/>
  <c r="H9" i="15"/>
  <c r="S96" i="1"/>
  <c r="R96" i="1" s="1"/>
  <c r="L95" i="1"/>
  <c r="D22" i="14"/>
  <c r="E22" i="14" s="1"/>
  <c r="G19" i="15"/>
  <c r="J8" i="15" l="1"/>
  <c r="I10" i="15"/>
  <c r="I18" i="15"/>
  <c r="I19" i="15" s="1"/>
  <c r="I20" i="15"/>
  <c r="I25" i="15"/>
  <c r="I10" i="2"/>
  <c r="J8" i="2"/>
  <c r="I20" i="2"/>
  <c r="I25" i="2"/>
  <c r="I18" i="2"/>
  <c r="C72" i="15"/>
  <c r="C31" i="15" s="1"/>
  <c r="C87" i="15" s="1"/>
  <c r="C99" i="15"/>
  <c r="B75" i="15"/>
  <c r="B101" i="15"/>
  <c r="B100" i="15"/>
  <c r="B48" i="15"/>
  <c r="B66" i="15"/>
  <c r="D65" i="15"/>
  <c r="Y13" i="1"/>
  <c r="Y17" i="1" s="1"/>
  <c r="H7" i="2"/>
  <c r="G9" i="2"/>
  <c r="I9" i="15"/>
  <c r="J7" i="15"/>
  <c r="G64" i="2"/>
  <c r="L96" i="1"/>
  <c r="D64" i="2"/>
  <c r="C64" i="2"/>
  <c r="C65" i="2" s="1"/>
  <c r="I64" i="2"/>
  <c r="K95" i="1"/>
  <c r="D23" i="14"/>
  <c r="E23" i="14" s="1"/>
  <c r="E64" i="2"/>
  <c r="H64" i="2"/>
  <c r="F64" i="2"/>
  <c r="J64" i="2"/>
  <c r="K8" i="15" l="1"/>
  <c r="J10" i="15"/>
  <c r="J18" i="15"/>
  <c r="J19" i="15" s="1"/>
  <c r="J20" i="15"/>
  <c r="J25" i="15"/>
  <c r="J64" i="15"/>
  <c r="J10" i="2"/>
  <c r="K8" i="2"/>
  <c r="J25" i="2"/>
  <c r="J20" i="2"/>
  <c r="J18" i="2"/>
  <c r="D65" i="2"/>
  <c r="E65" i="2" s="1"/>
  <c r="F65" i="2" s="1"/>
  <c r="I7" i="2"/>
  <c r="H9" i="2"/>
  <c r="J100" i="15"/>
  <c r="F100" i="15"/>
  <c r="I100" i="15"/>
  <c r="H100" i="15"/>
  <c r="G100" i="15"/>
  <c r="C100" i="15"/>
  <c r="D100" i="15"/>
  <c r="E100" i="15"/>
  <c r="K100" i="15"/>
  <c r="I101" i="15"/>
  <c r="H101" i="15"/>
  <c r="E101" i="15"/>
  <c r="D101" i="15"/>
  <c r="G101" i="15"/>
  <c r="F101" i="15"/>
  <c r="C101" i="15"/>
  <c r="J101" i="15"/>
  <c r="C78" i="15"/>
  <c r="C79" i="15" s="1"/>
  <c r="C80" i="15" s="1"/>
  <c r="C98" i="15" s="1"/>
  <c r="D78" i="15"/>
  <c r="E78" i="15"/>
  <c r="J78" i="15"/>
  <c r="G78" i="15"/>
  <c r="G79" i="15" s="1"/>
  <c r="G80" i="15" s="1"/>
  <c r="G98" i="15" s="1"/>
  <c r="F78" i="15"/>
  <c r="F79" i="15" s="1"/>
  <c r="F80" i="15" s="1"/>
  <c r="F98" i="15" s="1"/>
  <c r="K78" i="15"/>
  <c r="I78" i="15"/>
  <c r="I79" i="15" s="1"/>
  <c r="I80" i="15" s="1"/>
  <c r="I98" i="15" s="1"/>
  <c r="H78" i="15"/>
  <c r="H79" i="15" s="1"/>
  <c r="H80" i="15" s="1"/>
  <c r="H98" i="15" s="1"/>
  <c r="B48" i="2"/>
  <c r="B66" i="2"/>
  <c r="B75" i="2"/>
  <c r="K96" i="1"/>
  <c r="B100" i="2"/>
  <c r="B101" i="2"/>
  <c r="E65" i="15"/>
  <c r="D99" i="15"/>
  <c r="D72" i="15"/>
  <c r="D31" i="15" s="1"/>
  <c r="D87" i="15" s="1"/>
  <c r="C99" i="2"/>
  <c r="C72" i="2"/>
  <c r="C31" i="2" s="1"/>
  <c r="C87" i="2" s="1"/>
  <c r="C68" i="15"/>
  <c r="D68" i="15"/>
  <c r="Z13" i="1"/>
  <c r="Z17" i="1" s="1"/>
  <c r="K7" i="15"/>
  <c r="J9" i="15"/>
  <c r="K10" i="15" l="1"/>
  <c r="L8" i="15"/>
  <c r="K18" i="15"/>
  <c r="K19" i="15" s="1"/>
  <c r="K20" i="15"/>
  <c r="K25" i="15"/>
  <c r="K64" i="15"/>
  <c r="K101" i="15"/>
  <c r="L8" i="2"/>
  <c r="L100" i="2" s="1"/>
  <c r="K10" i="2"/>
  <c r="K20" i="2"/>
  <c r="K25" i="2"/>
  <c r="K18" i="2"/>
  <c r="K64" i="2"/>
  <c r="D99" i="2"/>
  <c r="D72" i="2"/>
  <c r="D31" i="2" s="1"/>
  <c r="D87" i="2" s="1"/>
  <c r="I101" i="2"/>
  <c r="G101" i="2"/>
  <c r="K101" i="2"/>
  <c r="E101" i="2"/>
  <c r="J101" i="2"/>
  <c r="L101" i="2"/>
  <c r="D101" i="2"/>
  <c r="H101" i="2"/>
  <c r="F101" i="2"/>
  <c r="C101" i="2"/>
  <c r="D79" i="15"/>
  <c r="D80" i="15" s="1"/>
  <c r="D98" i="15" s="1"/>
  <c r="G65" i="2"/>
  <c r="F99" i="2"/>
  <c r="F72" i="2"/>
  <c r="F31" i="2" s="1"/>
  <c r="F87" i="2" s="1"/>
  <c r="E72" i="2"/>
  <c r="E31" i="2" s="1"/>
  <c r="E87" i="2" s="1"/>
  <c r="E99" i="2"/>
  <c r="E79" i="15"/>
  <c r="E80" i="15" s="1"/>
  <c r="E98" i="15" s="1"/>
  <c r="F100" i="2"/>
  <c r="K100" i="2"/>
  <c r="H100" i="2"/>
  <c r="J100" i="2"/>
  <c r="C100" i="2"/>
  <c r="I100" i="2"/>
  <c r="E100" i="2"/>
  <c r="G100" i="2"/>
  <c r="D100" i="2"/>
  <c r="K79" i="15"/>
  <c r="K80" i="15" s="1"/>
  <c r="K98" i="15" s="1"/>
  <c r="F65" i="15"/>
  <c r="E99" i="15"/>
  <c r="E72" i="15"/>
  <c r="E31" i="15" s="1"/>
  <c r="E87" i="15" s="1"/>
  <c r="J79" i="15"/>
  <c r="J80" i="15" s="1"/>
  <c r="J98" i="15" s="1"/>
  <c r="L7" i="15"/>
  <c r="K9" i="15"/>
  <c r="E68" i="15"/>
  <c r="E78" i="2"/>
  <c r="C78" i="2"/>
  <c r="C79" i="2" s="1"/>
  <c r="C80" i="2" s="1"/>
  <c r="C98" i="2" s="1"/>
  <c r="I78" i="2"/>
  <c r="G78" i="2"/>
  <c r="H78" i="2"/>
  <c r="F78" i="2"/>
  <c r="D78" i="2"/>
  <c r="D79" i="2" s="1"/>
  <c r="D80" i="2" s="1"/>
  <c r="D98" i="2" s="1"/>
  <c r="J78" i="2"/>
  <c r="K78" i="2"/>
  <c r="K79" i="2" s="1"/>
  <c r="K80" i="2" s="1"/>
  <c r="K98" i="2" s="1"/>
  <c r="AA13" i="1"/>
  <c r="AA17" i="1" s="1"/>
  <c r="C68" i="2"/>
  <c r="E68" i="2"/>
  <c r="D68" i="2"/>
  <c r="F68" i="2"/>
  <c r="I9" i="2"/>
  <c r="J7" i="2"/>
  <c r="L10" i="15" l="1"/>
  <c r="L18" i="15"/>
  <c r="L19" i="15" s="1"/>
  <c r="M8" i="15"/>
  <c r="L20" i="15"/>
  <c r="L25" i="15"/>
  <c r="L64" i="15"/>
  <c r="L78" i="15"/>
  <c r="L79" i="15" s="1"/>
  <c r="L80" i="15" s="1"/>
  <c r="L98" i="15" s="1"/>
  <c r="L101" i="15"/>
  <c r="L100" i="15"/>
  <c r="L78" i="2"/>
  <c r="L79" i="2" s="1"/>
  <c r="L80" i="2" s="1"/>
  <c r="L98" i="2" s="1"/>
  <c r="M8" i="2"/>
  <c r="L10" i="2"/>
  <c r="L20" i="2"/>
  <c r="L25" i="2"/>
  <c r="L18" i="2"/>
  <c r="L64" i="2"/>
  <c r="J79" i="2"/>
  <c r="J80" i="2" s="1"/>
  <c r="J98" i="2" s="1"/>
  <c r="H79" i="2"/>
  <c r="H80" i="2" s="1"/>
  <c r="H98" i="2" s="1"/>
  <c r="L9" i="15"/>
  <c r="M7" i="15"/>
  <c r="I79" i="2"/>
  <c r="I80" i="2" s="1"/>
  <c r="I98" i="2" s="1"/>
  <c r="J9" i="2"/>
  <c r="K7" i="2"/>
  <c r="G79" i="2"/>
  <c r="G80" i="2" s="1"/>
  <c r="G98" i="2" s="1"/>
  <c r="F68" i="15"/>
  <c r="G65" i="15"/>
  <c r="F99" i="15"/>
  <c r="F72" i="15"/>
  <c r="F31" i="15" s="1"/>
  <c r="F87" i="15" s="1"/>
  <c r="E79" i="2"/>
  <c r="E80" i="2" s="1"/>
  <c r="E98" i="2" s="1"/>
  <c r="AB13" i="1"/>
  <c r="AB17" i="1" s="1"/>
  <c r="F79" i="2"/>
  <c r="F80" i="2" s="1"/>
  <c r="F98" i="2" s="1"/>
  <c r="H65" i="2"/>
  <c r="G72" i="2"/>
  <c r="G31" i="2" s="1"/>
  <c r="G87" i="2" s="1"/>
  <c r="G68" i="2"/>
  <c r="G99" i="2"/>
  <c r="M10" i="15" l="1"/>
  <c r="M18" i="15"/>
  <c r="M19" i="15" s="1"/>
  <c r="N8" i="15"/>
  <c r="M25" i="15"/>
  <c r="M20" i="15"/>
  <c r="M64" i="15"/>
  <c r="M101" i="15"/>
  <c r="M78" i="15"/>
  <c r="M79" i="15" s="1"/>
  <c r="M80" i="15" s="1"/>
  <c r="M98" i="15" s="1"/>
  <c r="M100" i="15"/>
  <c r="N8" i="2"/>
  <c r="M10" i="2"/>
  <c r="M25" i="2"/>
  <c r="M20" i="2"/>
  <c r="M18" i="2"/>
  <c r="M64" i="2"/>
  <c r="M101" i="2"/>
  <c r="M100" i="2"/>
  <c r="M78" i="2"/>
  <c r="M79" i="2" s="1"/>
  <c r="M80" i="2" s="1"/>
  <c r="M98" i="2" s="1"/>
  <c r="AC13" i="1"/>
  <c r="AC17" i="1" s="1"/>
  <c r="N7" i="15"/>
  <c r="M9" i="15"/>
  <c r="H65" i="15"/>
  <c r="G72" i="15"/>
  <c r="G31" i="15" s="1"/>
  <c r="G87" i="15" s="1"/>
  <c r="G68" i="15"/>
  <c r="G99" i="15"/>
  <c r="H72" i="2"/>
  <c r="H31" i="2" s="1"/>
  <c r="H87" i="2" s="1"/>
  <c r="H99" i="2"/>
  <c r="I65" i="2"/>
  <c r="H68" i="2"/>
  <c r="L7" i="2"/>
  <c r="K9" i="2"/>
  <c r="N18" i="15" l="1"/>
  <c r="N19" i="15" s="1"/>
  <c r="O8" i="15"/>
  <c r="N10" i="15"/>
  <c r="N20" i="15"/>
  <c r="N25" i="15"/>
  <c r="N64" i="15"/>
  <c r="N101" i="15"/>
  <c r="N100" i="15"/>
  <c r="N78" i="15"/>
  <c r="N79" i="15" s="1"/>
  <c r="N80" i="15" s="1"/>
  <c r="N98" i="15" s="1"/>
  <c r="N10" i="2"/>
  <c r="O8" i="2"/>
  <c r="N25" i="2"/>
  <c r="N20" i="2"/>
  <c r="N18" i="2"/>
  <c r="N64" i="2"/>
  <c r="N78" i="2"/>
  <c r="N79" i="2" s="1"/>
  <c r="N80" i="2" s="1"/>
  <c r="N98" i="2" s="1"/>
  <c r="N101" i="2"/>
  <c r="N100" i="2"/>
  <c r="M7" i="2"/>
  <c r="L9" i="2"/>
  <c r="J65" i="2"/>
  <c r="I68" i="2"/>
  <c r="I72" i="2"/>
  <c r="I31" i="2" s="1"/>
  <c r="I87" i="2" s="1"/>
  <c r="I99" i="2"/>
  <c r="H99" i="15"/>
  <c r="H68" i="15"/>
  <c r="H72" i="15"/>
  <c r="H31" i="15" s="1"/>
  <c r="H87" i="15" s="1"/>
  <c r="I65" i="15"/>
  <c r="AD13" i="1"/>
  <c r="AD17" i="1" s="1"/>
  <c r="N9" i="15"/>
  <c r="O7" i="15"/>
  <c r="O18" i="15" l="1"/>
  <c r="O19" i="15" s="1"/>
  <c r="O10" i="15"/>
  <c r="P8" i="15"/>
  <c r="O25" i="15"/>
  <c r="O20" i="15"/>
  <c r="O64" i="15"/>
  <c r="O78" i="15"/>
  <c r="O79" i="15" s="1"/>
  <c r="O80" i="15" s="1"/>
  <c r="O98" i="15" s="1"/>
  <c r="O101" i="15"/>
  <c r="O100" i="15"/>
  <c r="P8" i="2"/>
  <c r="O10" i="2"/>
  <c r="O20" i="2"/>
  <c r="O25" i="2"/>
  <c r="O18" i="2"/>
  <c r="O64" i="2"/>
  <c r="O78" i="2"/>
  <c r="O79" i="2" s="1"/>
  <c r="O80" i="2" s="1"/>
  <c r="O98" i="2" s="1"/>
  <c r="O101" i="2"/>
  <c r="O100" i="2"/>
  <c r="P7" i="15"/>
  <c r="O9" i="15"/>
  <c r="I72" i="15"/>
  <c r="I31" i="15" s="1"/>
  <c r="I87" i="15" s="1"/>
  <c r="J65" i="15"/>
  <c r="I99" i="15"/>
  <c r="I68" i="15"/>
  <c r="AF13" i="1"/>
  <c r="AF17" i="1" s="1"/>
  <c r="AE17" i="1"/>
  <c r="K65" i="2"/>
  <c r="J68" i="2"/>
  <c r="J72" i="2"/>
  <c r="J31" i="2" s="1"/>
  <c r="J87" i="2" s="1"/>
  <c r="J99" i="2"/>
  <c r="M9" i="2"/>
  <c r="N7" i="2"/>
  <c r="P10" i="15" l="1"/>
  <c r="P18" i="15"/>
  <c r="P19" i="15" s="1"/>
  <c r="Q8" i="15"/>
  <c r="P25" i="15"/>
  <c r="P20" i="15"/>
  <c r="P64" i="15"/>
  <c r="P78" i="15"/>
  <c r="P79" i="15" s="1"/>
  <c r="P80" i="15" s="1"/>
  <c r="P98" i="15" s="1"/>
  <c r="P101" i="15"/>
  <c r="P100" i="15"/>
  <c r="Q8" i="2"/>
  <c r="P10" i="2"/>
  <c r="P20" i="2"/>
  <c r="P25" i="2"/>
  <c r="P18" i="2"/>
  <c r="P64" i="2"/>
  <c r="P101" i="2"/>
  <c r="P78" i="2"/>
  <c r="P79" i="2" s="1"/>
  <c r="P80" i="2" s="1"/>
  <c r="P98" i="2" s="1"/>
  <c r="P100" i="2"/>
  <c r="Q7" i="15"/>
  <c r="P9" i="15"/>
  <c r="J99" i="15"/>
  <c r="J72" i="15"/>
  <c r="J31" i="15" s="1"/>
  <c r="J87" i="15" s="1"/>
  <c r="J68" i="15"/>
  <c r="K65" i="15"/>
  <c r="O7" i="2"/>
  <c r="N9" i="2"/>
  <c r="L65" i="2"/>
  <c r="K72" i="2"/>
  <c r="K31" i="2" s="1"/>
  <c r="K87" i="2" s="1"/>
  <c r="K99" i="2"/>
  <c r="K68" i="2"/>
  <c r="R8" i="15" l="1"/>
  <c r="Q10" i="15"/>
  <c r="Q18" i="15"/>
  <c r="Q19" i="15" s="1"/>
  <c r="Q20" i="15"/>
  <c r="Q25" i="15"/>
  <c r="Q64" i="15"/>
  <c r="Q101" i="15"/>
  <c r="Q100" i="15"/>
  <c r="Q78" i="15"/>
  <c r="Q79" i="15" s="1"/>
  <c r="Q80" i="15" s="1"/>
  <c r="Q98" i="15" s="1"/>
  <c r="Q10" i="2"/>
  <c r="R8" i="2"/>
  <c r="Q20" i="2"/>
  <c r="Q25" i="2"/>
  <c r="Q18" i="2"/>
  <c r="Q64" i="2"/>
  <c r="Q78" i="2"/>
  <c r="Q79" i="2" s="1"/>
  <c r="Q80" i="2" s="1"/>
  <c r="Q98" i="2" s="1"/>
  <c r="Q101" i="2"/>
  <c r="Q100" i="2"/>
  <c r="K72" i="15"/>
  <c r="K31" i="15" s="1"/>
  <c r="K87" i="15" s="1"/>
  <c r="K99" i="15"/>
  <c r="K68" i="15"/>
  <c r="L65" i="15"/>
  <c r="L68" i="2"/>
  <c r="M65" i="2"/>
  <c r="L99" i="2"/>
  <c r="L72" i="2"/>
  <c r="L31" i="2" s="1"/>
  <c r="L87" i="2" s="1"/>
  <c r="Q9" i="15"/>
  <c r="R7" i="15"/>
  <c r="P7" i="2"/>
  <c r="O9" i="2"/>
  <c r="S8" i="15" l="1"/>
  <c r="R10" i="15"/>
  <c r="R18" i="15"/>
  <c r="R19" i="15" s="1"/>
  <c r="R20" i="15"/>
  <c r="R25" i="15"/>
  <c r="R64" i="15"/>
  <c r="R101" i="15"/>
  <c r="R78" i="15"/>
  <c r="R79" i="15" s="1"/>
  <c r="R80" i="15" s="1"/>
  <c r="R98" i="15" s="1"/>
  <c r="R100" i="15"/>
  <c r="R10" i="2"/>
  <c r="S8" i="2"/>
  <c r="R20" i="2"/>
  <c r="R25" i="2"/>
  <c r="R18" i="2"/>
  <c r="R64" i="2"/>
  <c r="R101" i="2"/>
  <c r="R100" i="2"/>
  <c r="R78" i="2"/>
  <c r="R79" i="2" s="1"/>
  <c r="R80" i="2" s="1"/>
  <c r="R98" i="2" s="1"/>
  <c r="Q7" i="2"/>
  <c r="P9" i="2"/>
  <c r="L99" i="15"/>
  <c r="M65" i="15"/>
  <c r="L68" i="15"/>
  <c r="L72" i="15"/>
  <c r="L31" i="15" s="1"/>
  <c r="L87" i="15" s="1"/>
  <c r="M72" i="2"/>
  <c r="M31" i="2" s="1"/>
  <c r="M87" i="2" s="1"/>
  <c r="M68" i="2"/>
  <c r="M99" i="2"/>
  <c r="N65" i="2"/>
  <c r="S7" i="15"/>
  <c r="R9" i="15"/>
  <c r="S10" i="15" l="1"/>
  <c r="T8" i="15"/>
  <c r="S18" i="15"/>
  <c r="S19" i="15" s="1"/>
  <c r="S20" i="15"/>
  <c r="S25" i="15"/>
  <c r="S64" i="15"/>
  <c r="S100" i="15"/>
  <c r="S78" i="15"/>
  <c r="S79" i="15" s="1"/>
  <c r="S80" i="15" s="1"/>
  <c r="S98" i="15" s="1"/>
  <c r="S101" i="15"/>
  <c r="T8" i="2"/>
  <c r="S10" i="2"/>
  <c r="S25" i="2"/>
  <c r="S20" i="2"/>
  <c r="S18" i="2"/>
  <c r="S64" i="2"/>
  <c r="S100" i="2"/>
  <c r="S78" i="2"/>
  <c r="S79" i="2" s="1"/>
  <c r="S80" i="2" s="1"/>
  <c r="S98" i="2" s="1"/>
  <c r="S101" i="2"/>
  <c r="R7" i="2"/>
  <c r="Q9" i="2"/>
  <c r="T7" i="15"/>
  <c r="S9" i="15"/>
  <c r="M68" i="15"/>
  <c r="M99" i="15"/>
  <c r="M72" i="15"/>
  <c r="M31" i="15" s="1"/>
  <c r="M87" i="15" s="1"/>
  <c r="N65" i="15"/>
  <c r="N72" i="2"/>
  <c r="N31" i="2" s="1"/>
  <c r="N87" i="2" s="1"/>
  <c r="N99" i="2"/>
  <c r="O65" i="2"/>
  <c r="N68" i="2"/>
  <c r="T10" i="15" l="1"/>
  <c r="T18" i="15"/>
  <c r="T19" i="15" s="1"/>
  <c r="U8" i="15"/>
  <c r="T20" i="15"/>
  <c r="T25" i="15"/>
  <c r="T64" i="15"/>
  <c r="T101" i="15"/>
  <c r="T78" i="15"/>
  <c r="T79" i="15" s="1"/>
  <c r="T80" i="15" s="1"/>
  <c r="T98" i="15" s="1"/>
  <c r="T100" i="15"/>
  <c r="U8" i="2"/>
  <c r="T10" i="2"/>
  <c r="T25" i="2"/>
  <c r="T20" i="2"/>
  <c r="T18" i="2"/>
  <c r="T64" i="2"/>
  <c r="T100" i="2"/>
  <c r="T78" i="2"/>
  <c r="T79" i="2" s="1"/>
  <c r="T80" i="2" s="1"/>
  <c r="T98" i="2" s="1"/>
  <c r="T101" i="2"/>
  <c r="T9" i="15"/>
  <c r="U7" i="15"/>
  <c r="O99" i="2"/>
  <c r="P65" i="2"/>
  <c r="O68" i="2"/>
  <c r="O72" i="2"/>
  <c r="O31" i="2" s="1"/>
  <c r="O87" i="2" s="1"/>
  <c r="N68" i="15"/>
  <c r="N72" i="15"/>
  <c r="N31" i="15" s="1"/>
  <c r="N87" i="15" s="1"/>
  <c r="O65" i="15"/>
  <c r="N99" i="15"/>
  <c r="S7" i="2"/>
  <c r="R9" i="2"/>
  <c r="U10" i="15" l="1"/>
  <c r="U18" i="15"/>
  <c r="U19" i="15" s="1"/>
  <c r="V8" i="15"/>
  <c r="U20" i="15"/>
  <c r="U25" i="15"/>
  <c r="U64" i="15"/>
  <c r="U101" i="15"/>
  <c r="U78" i="15"/>
  <c r="U79" i="15" s="1"/>
  <c r="U80" i="15" s="1"/>
  <c r="U98" i="15" s="1"/>
  <c r="U100" i="15"/>
  <c r="V8" i="2"/>
  <c r="U10" i="2"/>
  <c r="U25" i="2"/>
  <c r="U20" i="2"/>
  <c r="U18" i="2"/>
  <c r="U64" i="2"/>
  <c r="T7" i="2"/>
  <c r="S9" i="2"/>
  <c r="P99" i="2"/>
  <c r="P68" i="2"/>
  <c r="P72" i="2"/>
  <c r="P31" i="2" s="1"/>
  <c r="P87" i="2" s="1"/>
  <c r="Q65" i="2"/>
  <c r="O68" i="15"/>
  <c r="O99" i="15"/>
  <c r="O72" i="15"/>
  <c r="O31" i="15" s="1"/>
  <c r="O87" i="15" s="1"/>
  <c r="P65" i="15"/>
  <c r="V7" i="15"/>
  <c r="U9" i="15"/>
  <c r="V18" i="15" l="1"/>
  <c r="V19" i="15" s="1"/>
  <c r="W8" i="15"/>
  <c r="V10" i="15"/>
  <c r="V20" i="15"/>
  <c r="V25" i="15"/>
  <c r="V64" i="15"/>
  <c r="V78" i="15"/>
  <c r="V79" i="15" s="1"/>
  <c r="V80" i="15" s="1"/>
  <c r="V98" i="15" s="1"/>
  <c r="V100" i="15"/>
  <c r="V101" i="15"/>
  <c r="V10" i="2"/>
  <c r="W8" i="2"/>
  <c r="V25" i="2"/>
  <c r="V20" i="2"/>
  <c r="V18" i="2"/>
  <c r="V64" i="2"/>
  <c r="V78" i="2"/>
  <c r="V79" i="2" s="1"/>
  <c r="V80" i="2" s="1"/>
  <c r="V98" i="2" s="1"/>
  <c r="V100" i="2"/>
  <c r="V101" i="2"/>
  <c r="Q72" i="2"/>
  <c r="Q31" i="2" s="1"/>
  <c r="Q87" i="2" s="1"/>
  <c r="Q99" i="2"/>
  <c r="R65" i="2"/>
  <c r="Q68" i="2"/>
  <c r="V9" i="15"/>
  <c r="W7" i="15"/>
  <c r="P68" i="15"/>
  <c r="Q65" i="15"/>
  <c r="P72" i="15"/>
  <c r="P31" i="15" s="1"/>
  <c r="P87" i="15" s="1"/>
  <c r="P99" i="15"/>
  <c r="U7" i="2"/>
  <c r="T9" i="2"/>
  <c r="W18" i="15" l="1"/>
  <c r="W19" i="15" s="1"/>
  <c r="W10" i="15"/>
  <c r="X8" i="15"/>
  <c r="W20" i="15"/>
  <c r="W25" i="15"/>
  <c r="W64" i="15"/>
  <c r="W100" i="15"/>
  <c r="W101" i="15"/>
  <c r="W78" i="15"/>
  <c r="W79" i="15" s="1"/>
  <c r="W80" i="15" s="1"/>
  <c r="W98" i="15" s="1"/>
  <c r="X8" i="2"/>
  <c r="W10" i="2"/>
  <c r="W20" i="2"/>
  <c r="W25" i="2"/>
  <c r="W18" i="2"/>
  <c r="W64" i="2"/>
  <c r="W78" i="2"/>
  <c r="W79" i="2" s="1"/>
  <c r="W80" i="2" s="1"/>
  <c r="W98" i="2" s="1"/>
  <c r="W100" i="2"/>
  <c r="W101" i="2"/>
  <c r="X7" i="15"/>
  <c r="W9" i="15"/>
  <c r="V7" i="2"/>
  <c r="U9" i="2"/>
  <c r="Q68" i="15"/>
  <c r="Q72" i="15"/>
  <c r="Q31" i="15" s="1"/>
  <c r="Q87" i="15" s="1"/>
  <c r="R65" i="15"/>
  <c r="Q99" i="15"/>
  <c r="R99" i="2"/>
  <c r="R68" i="2"/>
  <c r="S65" i="2"/>
  <c r="R72" i="2"/>
  <c r="R31" i="2" s="1"/>
  <c r="R87" i="2" s="1"/>
  <c r="Y8" i="15" l="1"/>
  <c r="X10" i="15"/>
  <c r="X18" i="15"/>
  <c r="X19" i="15" s="1"/>
  <c r="X20" i="15"/>
  <c r="X25" i="15"/>
  <c r="X64" i="15"/>
  <c r="X78" i="15"/>
  <c r="X79" i="15" s="1"/>
  <c r="X80" i="15" s="1"/>
  <c r="X98" i="15" s="1"/>
  <c r="X100" i="15"/>
  <c r="X101" i="15"/>
  <c r="Y8" i="2"/>
  <c r="X10" i="2"/>
  <c r="X20" i="2"/>
  <c r="X25" i="2"/>
  <c r="X18" i="2"/>
  <c r="X64" i="2"/>
  <c r="X100" i="2"/>
  <c r="X101" i="2"/>
  <c r="X78" i="2"/>
  <c r="X79" i="2" s="1"/>
  <c r="X80" i="2" s="1"/>
  <c r="X98" i="2" s="1"/>
  <c r="S68" i="2"/>
  <c r="T65" i="2"/>
  <c r="S99" i="2"/>
  <c r="R99" i="15"/>
  <c r="R72" i="15"/>
  <c r="R31" i="15" s="1"/>
  <c r="R87" i="15" s="1"/>
  <c r="S65" i="15"/>
  <c r="R68" i="15"/>
  <c r="W7" i="2"/>
  <c r="V9" i="2"/>
  <c r="Y7" i="15"/>
  <c r="X9" i="15"/>
  <c r="Y10" i="15" l="1"/>
  <c r="Z8" i="15"/>
  <c r="Y18" i="15"/>
  <c r="Y19" i="15" s="1"/>
  <c r="Y20" i="15"/>
  <c r="Y25" i="15"/>
  <c r="Y64" i="15"/>
  <c r="Y78" i="15"/>
  <c r="Y79" i="15" s="1"/>
  <c r="Y80" i="15" s="1"/>
  <c r="Y98" i="15" s="1"/>
  <c r="Y100" i="15"/>
  <c r="Y101" i="15"/>
  <c r="Y10" i="2"/>
  <c r="Z8" i="2"/>
  <c r="Y20" i="2"/>
  <c r="Y25" i="2"/>
  <c r="Y18" i="2"/>
  <c r="Y64" i="2"/>
  <c r="Y100" i="2"/>
  <c r="Y101" i="2"/>
  <c r="Y78" i="2"/>
  <c r="Y79" i="2" s="1"/>
  <c r="Y80" i="2" s="1"/>
  <c r="Y98" i="2" s="1"/>
  <c r="X7" i="2"/>
  <c r="W9" i="2"/>
  <c r="U65" i="2"/>
  <c r="T99" i="2"/>
  <c r="T68" i="2"/>
  <c r="T65" i="15"/>
  <c r="S99" i="15"/>
  <c r="S68" i="15"/>
  <c r="S72" i="15"/>
  <c r="S31" i="15" s="1"/>
  <c r="S87" i="15" s="1"/>
  <c r="Y9" i="15"/>
  <c r="Z7" i="15"/>
  <c r="AA8" i="15" l="1"/>
  <c r="Z10" i="15"/>
  <c r="Z18" i="15"/>
  <c r="Z19" i="15" s="1"/>
  <c r="Z25" i="15"/>
  <c r="Z20" i="15"/>
  <c r="Z64" i="15"/>
  <c r="Z78" i="15"/>
  <c r="Z79" i="15" s="1"/>
  <c r="Z80" i="15" s="1"/>
  <c r="Z98" i="15" s="1"/>
  <c r="Z100" i="15"/>
  <c r="Z101" i="15"/>
  <c r="Z10" i="2"/>
  <c r="AA8" i="2"/>
  <c r="Z20" i="2"/>
  <c r="Z25" i="2"/>
  <c r="Z18" i="2"/>
  <c r="Z64" i="2"/>
  <c r="Z100" i="2"/>
  <c r="Z101" i="2"/>
  <c r="Z78" i="2"/>
  <c r="Z79" i="2" s="1"/>
  <c r="Z80" i="2" s="1"/>
  <c r="Z98" i="2" s="1"/>
  <c r="AA7" i="15"/>
  <c r="Z9" i="15"/>
  <c r="V65" i="2"/>
  <c r="U99" i="2"/>
  <c r="U68" i="2"/>
  <c r="T99" i="15"/>
  <c r="T68" i="15"/>
  <c r="U65" i="15"/>
  <c r="Y7" i="2"/>
  <c r="X9" i="2"/>
  <c r="AA10" i="15" l="1"/>
  <c r="AB8" i="15"/>
  <c r="AA18" i="15"/>
  <c r="AA19" i="15" s="1"/>
  <c r="AA20" i="15"/>
  <c r="AA25" i="15"/>
  <c r="AA64" i="15"/>
  <c r="AB8" i="2"/>
  <c r="AA10" i="2"/>
  <c r="AA25" i="2"/>
  <c r="AA20" i="2"/>
  <c r="AA18" i="2"/>
  <c r="AA64" i="2"/>
  <c r="AA100" i="2"/>
  <c r="AA101" i="2"/>
  <c r="AA78" i="2"/>
  <c r="AA79" i="2" s="1"/>
  <c r="AA80" i="2" s="1"/>
  <c r="AA98" i="2" s="1"/>
  <c r="AB7" i="15"/>
  <c r="AA9" i="15"/>
  <c r="Z7" i="2"/>
  <c r="Y9" i="2"/>
  <c r="V68" i="2"/>
  <c r="V99" i="2"/>
  <c r="W65" i="2"/>
  <c r="V65" i="15"/>
  <c r="U99" i="15"/>
  <c r="U68" i="15"/>
  <c r="AB18" i="15" l="1"/>
  <c r="AB19" i="15" s="1"/>
  <c r="AC8" i="15"/>
  <c r="AB10" i="15"/>
  <c r="AB25" i="15"/>
  <c r="AB20" i="15"/>
  <c r="AB64" i="15"/>
  <c r="AB100" i="15"/>
  <c r="AB78" i="15"/>
  <c r="AB79" i="15" s="1"/>
  <c r="AB80" i="15" s="1"/>
  <c r="AB98" i="15" s="1"/>
  <c r="AB101" i="15"/>
  <c r="AC8" i="2"/>
  <c r="AB10" i="2"/>
  <c r="AB20" i="2"/>
  <c r="AB25" i="2"/>
  <c r="AB18" i="2"/>
  <c r="AB64" i="2"/>
  <c r="AB100" i="2"/>
  <c r="AB101" i="2"/>
  <c r="AB78" i="2"/>
  <c r="AB79" i="2" s="1"/>
  <c r="AB80" i="2" s="1"/>
  <c r="AB98" i="2" s="1"/>
  <c r="AA7" i="2"/>
  <c r="Z9" i="2"/>
  <c r="V68" i="15"/>
  <c r="V99" i="15"/>
  <c r="W65" i="15"/>
  <c r="W99" i="2"/>
  <c r="W68" i="2"/>
  <c r="X65" i="2"/>
  <c r="AB9" i="15"/>
  <c r="AC7" i="15"/>
  <c r="AC18" i="15" l="1"/>
  <c r="AC19" i="15" s="1"/>
  <c r="AC10" i="15"/>
  <c r="AD8" i="15"/>
  <c r="AC25" i="15"/>
  <c r="AC20" i="15"/>
  <c r="AC64" i="15"/>
  <c r="AC100" i="15"/>
  <c r="AC78" i="15"/>
  <c r="AC79" i="15" s="1"/>
  <c r="AC80" i="15" s="1"/>
  <c r="AC98" i="15" s="1"/>
  <c r="AC101" i="15"/>
  <c r="AD8" i="2"/>
  <c r="AC10" i="2"/>
  <c r="AC20" i="2"/>
  <c r="AC25" i="2"/>
  <c r="AC18" i="2"/>
  <c r="AC64" i="2"/>
  <c r="AC101" i="2"/>
  <c r="AC100" i="2"/>
  <c r="AC78" i="2"/>
  <c r="AC79" i="2" s="1"/>
  <c r="AC80" i="2" s="1"/>
  <c r="AC98" i="2" s="1"/>
  <c r="AB7" i="2"/>
  <c r="AA9" i="2"/>
  <c r="W99" i="15"/>
  <c r="X65" i="15"/>
  <c r="W68" i="15"/>
  <c r="AD7" i="15"/>
  <c r="AC9" i="15"/>
  <c r="Y65" i="2"/>
  <c r="X68" i="2"/>
  <c r="X99" i="2"/>
  <c r="AD18" i="15" l="1"/>
  <c r="AD19" i="15" s="1"/>
  <c r="AD10" i="15"/>
  <c r="AE8" i="15"/>
  <c r="AD20" i="15"/>
  <c r="AD25" i="15"/>
  <c r="AD64" i="15"/>
  <c r="AD100" i="15"/>
  <c r="AD78" i="15"/>
  <c r="AD79" i="15" s="1"/>
  <c r="AD80" i="15" s="1"/>
  <c r="AD98" i="15" s="1"/>
  <c r="AD101" i="15"/>
  <c r="AE8" i="2"/>
  <c r="AD10" i="2"/>
  <c r="AD20" i="2"/>
  <c r="AD25" i="2"/>
  <c r="AD18" i="2"/>
  <c r="AD64" i="2"/>
  <c r="AD9" i="15"/>
  <c r="AE7" i="15"/>
  <c r="Y65" i="15"/>
  <c r="X99" i="15"/>
  <c r="X68" i="15"/>
  <c r="Y99" i="2"/>
  <c r="Y68" i="2"/>
  <c r="Z65" i="2"/>
  <c r="AC7" i="2"/>
  <c r="AB9" i="2"/>
  <c r="AE18" i="15" l="1"/>
  <c r="AE19" i="15" s="1"/>
  <c r="AE10" i="15"/>
  <c r="AF8" i="15"/>
  <c r="AE25" i="15"/>
  <c r="AE20" i="15"/>
  <c r="AE64" i="15"/>
  <c r="AE100" i="15"/>
  <c r="AE78" i="15"/>
  <c r="AE79" i="15" s="1"/>
  <c r="AE80" i="15" s="1"/>
  <c r="AE98" i="15" s="1"/>
  <c r="AE101" i="15"/>
  <c r="AF8" i="2"/>
  <c r="AE10" i="2"/>
  <c r="AE25" i="2"/>
  <c r="AE20" i="2"/>
  <c r="AE18" i="2"/>
  <c r="AE64" i="2"/>
  <c r="AD7" i="2"/>
  <c r="AC9" i="2"/>
  <c r="AA65" i="2"/>
  <c r="Z68" i="2"/>
  <c r="Z99" i="2"/>
  <c r="Y68" i="15"/>
  <c r="Z65" i="15"/>
  <c r="Y99" i="15"/>
  <c r="AF7" i="15"/>
  <c r="AE9" i="15"/>
  <c r="AF18" i="15" l="1"/>
  <c r="AF19" i="15" s="1"/>
  <c r="AF10" i="15"/>
  <c r="AG8" i="15"/>
  <c r="AF25" i="15"/>
  <c r="AF20" i="15"/>
  <c r="AF64" i="15"/>
  <c r="AF100" i="15"/>
  <c r="AF101" i="15"/>
  <c r="AF78" i="15"/>
  <c r="AF79" i="15" s="1"/>
  <c r="AF80" i="15" s="1"/>
  <c r="AF98" i="15" s="1"/>
  <c r="AG8" i="2"/>
  <c r="AF10" i="2"/>
  <c r="AF25" i="2"/>
  <c r="AF20" i="2"/>
  <c r="AF18" i="2"/>
  <c r="AF64" i="2"/>
  <c r="AF78" i="2"/>
  <c r="AF79" i="2" s="1"/>
  <c r="AF80" i="2" s="1"/>
  <c r="AF98" i="2" s="1"/>
  <c r="AF100" i="2"/>
  <c r="AF101" i="2"/>
  <c r="AG7" i="15"/>
  <c r="AF9" i="15"/>
  <c r="AA99" i="2"/>
  <c r="AA68" i="2"/>
  <c r="AB65" i="2"/>
  <c r="AA65" i="15"/>
  <c r="Z99" i="15"/>
  <c r="Z68" i="15"/>
  <c r="AE7" i="2"/>
  <c r="AD9" i="2"/>
  <c r="AH8" i="15" l="1"/>
  <c r="AG10" i="15"/>
  <c r="AG18" i="15"/>
  <c r="AG19" i="15" s="1"/>
  <c r="AG20" i="15"/>
  <c r="AG25" i="15"/>
  <c r="AG64" i="15"/>
  <c r="AG78" i="15"/>
  <c r="AG79" i="15" s="1"/>
  <c r="AG80" i="15" s="1"/>
  <c r="AG98" i="15" s="1"/>
  <c r="AG10" i="2"/>
  <c r="AH8" i="2"/>
  <c r="AG25" i="2"/>
  <c r="AG20" i="2"/>
  <c r="AG18" i="2"/>
  <c r="AG64" i="2"/>
  <c r="AG49" i="2"/>
  <c r="AG9" i="15"/>
  <c r="AH7" i="15"/>
  <c r="AA68" i="15"/>
  <c r="AA99" i="15"/>
  <c r="AB65" i="15"/>
  <c r="AB68" i="2"/>
  <c r="L55" i="1" s="1"/>
  <c r="AB99" i="2"/>
  <c r="AC65" i="2"/>
  <c r="AF7" i="2"/>
  <c r="AE9" i="2"/>
  <c r="AI8" i="15" l="1"/>
  <c r="AH10" i="15"/>
  <c r="AH18" i="15"/>
  <c r="AH19" i="15" s="1"/>
  <c r="AH20" i="15"/>
  <c r="AH25" i="15"/>
  <c r="AH64" i="15"/>
  <c r="AH100" i="15"/>
  <c r="AH78" i="15"/>
  <c r="AH79" i="15" s="1"/>
  <c r="AH80" i="15" s="1"/>
  <c r="AH98" i="15" s="1"/>
  <c r="AH101" i="15"/>
  <c r="AH10" i="2"/>
  <c r="AI8" i="2"/>
  <c r="AH20" i="2"/>
  <c r="AH25" i="2"/>
  <c r="AH18" i="2"/>
  <c r="AH64" i="2"/>
  <c r="AH78" i="2"/>
  <c r="AH79" i="2" s="1"/>
  <c r="AH80" i="2" s="1"/>
  <c r="AH98" i="2" s="1"/>
  <c r="AH49" i="2"/>
  <c r="AH100" i="2"/>
  <c r="AH101" i="2"/>
  <c r="AC99" i="2"/>
  <c r="AC68" i="2"/>
  <c r="AD65" i="2"/>
  <c r="AF9" i="2"/>
  <c r="AG7" i="2"/>
  <c r="AC65" i="15"/>
  <c r="AB68" i="15"/>
  <c r="AB99" i="15"/>
  <c r="AI7" i="15"/>
  <c r="AH9" i="15"/>
  <c r="AJ8" i="15" l="1"/>
  <c r="AI18" i="15"/>
  <c r="AI19" i="15" s="1"/>
  <c r="AI10" i="15"/>
  <c r="AI20" i="15"/>
  <c r="AI25" i="15"/>
  <c r="AI64" i="15"/>
  <c r="AI100" i="15"/>
  <c r="AI78" i="15"/>
  <c r="AI79" i="15" s="1"/>
  <c r="AI80" i="15" s="1"/>
  <c r="AI98" i="15" s="1"/>
  <c r="AI101" i="15"/>
  <c r="AJ8" i="2"/>
  <c r="AI10" i="2"/>
  <c r="AI20" i="2"/>
  <c r="AI25" i="2"/>
  <c r="AI18" i="2"/>
  <c r="AI64" i="2"/>
  <c r="AI49" i="2"/>
  <c r="AC68" i="15"/>
  <c r="AD65" i="15"/>
  <c r="AC99" i="15"/>
  <c r="AH7" i="2"/>
  <c r="AG9" i="2"/>
  <c r="AE65" i="2"/>
  <c r="AD68" i="2"/>
  <c r="AJ7" i="15"/>
  <c r="AI9" i="15"/>
  <c r="AJ18" i="15" l="1"/>
  <c r="AJ19" i="15" s="1"/>
  <c r="AK8" i="15"/>
  <c r="AJ10" i="15"/>
  <c r="AJ25" i="15"/>
  <c r="AJ20" i="15"/>
  <c r="AJ64" i="15"/>
  <c r="AJ101" i="15"/>
  <c r="AJ100" i="15"/>
  <c r="AJ78" i="15"/>
  <c r="AJ79" i="15" s="1"/>
  <c r="AJ80" i="15" s="1"/>
  <c r="AJ98" i="15" s="1"/>
  <c r="AK8" i="2"/>
  <c r="AJ10" i="2"/>
  <c r="AJ20" i="2"/>
  <c r="AJ25" i="2"/>
  <c r="AJ18" i="2"/>
  <c r="AJ64" i="2"/>
  <c r="AJ101" i="2"/>
  <c r="AJ100" i="2"/>
  <c r="AJ49" i="2"/>
  <c r="AJ78" i="2"/>
  <c r="AJ79" i="2" s="1"/>
  <c r="AJ80" i="2" s="1"/>
  <c r="AJ98" i="2" s="1"/>
  <c r="AI7" i="2"/>
  <c r="AH9" i="2"/>
  <c r="AJ9" i="15"/>
  <c r="AK7" i="15"/>
  <c r="AE65" i="15"/>
  <c r="AD68" i="15"/>
  <c r="AD99" i="15"/>
  <c r="AE68" i="2"/>
  <c r="AF65" i="2"/>
  <c r="AK18" i="15" l="1"/>
  <c r="AK19" i="15" s="1"/>
  <c r="AK10" i="15"/>
  <c r="AL8" i="15"/>
  <c r="AK25" i="15"/>
  <c r="AK20" i="15"/>
  <c r="AK64" i="15"/>
  <c r="AK101" i="15"/>
  <c r="AK78" i="15"/>
  <c r="AK79" i="15" s="1"/>
  <c r="AK80" i="15" s="1"/>
  <c r="AK98" i="15" s="1"/>
  <c r="AK100" i="15"/>
  <c r="AL8" i="2"/>
  <c r="AK10" i="2"/>
  <c r="AK25" i="2"/>
  <c r="AK20" i="2"/>
  <c r="AK18" i="2"/>
  <c r="AK64" i="2"/>
  <c r="AK49" i="2"/>
  <c r="AK78" i="2"/>
  <c r="AK79" i="2" s="1"/>
  <c r="AK80" i="2" s="1"/>
  <c r="AK98" i="2" s="1"/>
  <c r="AJ7" i="2"/>
  <c r="AI9" i="2"/>
  <c r="AE68" i="15"/>
  <c r="AF65" i="15"/>
  <c r="AF68" i="2"/>
  <c r="AG65" i="2"/>
  <c r="AL7" i="15"/>
  <c r="AK9" i="15"/>
  <c r="AL18" i="15" l="1"/>
  <c r="AL19" i="15" s="1"/>
  <c r="AL10" i="15"/>
  <c r="AM8" i="15"/>
  <c r="AL20" i="15"/>
  <c r="AL25" i="15"/>
  <c r="AL64" i="15"/>
  <c r="AL78" i="15"/>
  <c r="AL79" i="15" s="1"/>
  <c r="AL80" i="15" s="1"/>
  <c r="AL98" i="15" s="1"/>
  <c r="AL100" i="15"/>
  <c r="AL101" i="15"/>
  <c r="AM8" i="2"/>
  <c r="AL10" i="2"/>
  <c r="AL20" i="2"/>
  <c r="AL25" i="2"/>
  <c r="AL18" i="2"/>
  <c r="AL64" i="2"/>
  <c r="AL49" i="2"/>
  <c r="AL78" i="2"/>
  <c r="AL79" i="2" s="1"/>
  <c r="AL80" i="2" s="1"/>
  <c r="AL98" i="2" s="1"/>
  <c r="AL101" i="2"/>
  <c r="AL100" i="2"/>
  <c r="AF68" i="15"/>
  <c r="AG65" i="15"/>
  <c r="AL9" i="15"/>
  <c r="AM7" i="15"/>
  <c r="AG68" i="2"/>
  <c r="AH65" i="2"/>
  <c r="AK7" i="2"/>
  <c r="AJ9" i="2"/>
  <c r="AM18" i="15" l="1"/>
  <c r="AM19" i="15" s="1"/>
  <c r="AM10" i="15"/>
  <c r="AN8" i="15"/>
  <c r="AM20" i="15"/>
  <c r="AM25" i="15"/>
  <c r="AM64" i="15"/>
  <c r="AN8" i="2"/>
  <c r="AM10" i="2"/>
  <c r="AM20" i="2"/>
  <c r="AM25" i="2"/>
  <c r="AM18" i="2"/>
  <c r="AM64" i="2"/>
  <c r="AM49" i="2"/>
  <c r="AH68" i="2"/>
  <c r="AN7" i="15"/>
  <c r="AM9" i="15"/>
  <c r="AL7" i="2"/>
  <c r="AK9" i="2"/>
  <c r="AI65" i="2"/>
  <c r="AG68" i="15"/>
  <c r="AH65" i="15"/>
  <c r="AO8" i="15" l="1"/>
  <c r="AN10" i="15"/>
  <c r="AN18" i="15"/>
  <c r="AN19" i="15" s="1"/>
  <c r="AN25" i="15"/>
  <c r="AN20" i="15"/>
  <c r="AN64" i="15"/>
  <c r="AN78" i="15"/>
  <c r="AN79" i="15" s="1"/>
  <c r="AN80" i="15" s="1"/>
  <c r="AN98" i="15" s="1"/>
  <c r="AO8" i="2"/>
  <c r="AN10" i="2"/>
  <c r="AN20" i="2"/>
  <c r="AN25" i="2"/>
  <c r="AN18" i="2"/>
  <c r="AN64" i="2"/>
  <c r="AN52" i="2"/>
  <c r="AN78" i="2"/>
  <c r="AN79" i="2" s="1"/>
  <c r="AN80" i="2" s="1"/>
  <c r="AN98" i="2" s="1"/>
  <c r="AN68" i="2"/>
  <c r="AN57" i="2"/>
  <c r="AN59" i="2" s="1"/>
  <c r="AN69" i="2"/>
  <c r="AN49" i="2"/>
  <c r="AI68" i="2"/>
  <c r="AJ65" i="2"/>
  <c r="AM7" i="2"/>
  <c r="AL9" i="2"/>
  <c r="AI65" i="15"/>
  <c r="AH68" i="15"/>
  <c r="AO7" i="15"/>
  <c r="AN9" i="15"/>
  <c r="AP8" i="15" l="1"/>
  <c r="AO10" i="15"/>
  <c r="AO18" i="15"/>
  <c r="AO19" i="15" s="1"/>
  <c r="AO25" i="15"/>
  <c r="AO20" i="15"/>
  <c r="AO64" i="15"/>
  <c r="AO49" i="15"/>
  <c r="AN71" i="2"/>
  <c r="AN97" i="2" s="1"/>
  <c r="AO10" i="2"/>
  <c r="AP8" i="2"/>
  <c r="AO25" i="2"/>
  <c r="AO20" i="2"/>
  <c r="AO18" i="2"/>
  <c r="AO64" i="2"/>
  <c r="AO101" i="2"/>
  <c r="AO68" i="2"/>
  <c r="AO69" i="2"/>
  <c r="AO49" i="2"/>
  <c r="AO52" i="2"/>
  <c r="AO100" i="2"/>
  <c r="AO78" i="2"/>
  <c r="AO79" i="2" s="1"/>
  <c r="AO80" i="2" s="1"/>
  <c r="AO98" i="2" s="1"/>
  <c r="AO57" i="2"/>
  <c r="AO59" i="2" s="1"/>
  <c r="AJ69" i="2"/>
  <c r="AJ68" i="2"/>
  <c r="AJ65" i="15"/>
  <c r="AI68" i="15"/>
  <c r="AM9" i="2"/>
  <c r="AN7" i="2"/>
  <c r="AO9" i="15"/>
  <c r="AP7" i="15"/>
  <c r="AK65" i="2"/>
  <c r="AQ8" i="15" l="1"/>
  <c r="AP10" i="15"/>
  <c r="AP18" i="15"/>
  <c r="AP19" i="15" s="1"/>
  <c r="AP20" i="15"/>
  <c r="AP25" i="15"/>
  <c r="AP64" i="15"/>
  <c r="AP49" i="15"/>
  <c r="AP78" i="15"/>
  <c r="AP79" i="15" s="1"/>
  <c r="AP80" i="15" s="1"/>
  <c r="AP98" i="15" s="1"/>
  <c r="AP100" i="15"/>
  <c r="AP101" i="15"/>
  <c r="AQ8" i="2"/>
  <c r="AP10" i="2"/>
  <c r="AP25" i="2"/>
  <c r="AP20" i="2"/>
  <c r="AP18" i="2"/>
  <c r="AP64" i="2"/>
  <c r="AP49" i="2"/>
  <c r="AP100" i="2"/>
  <c r="AP78" i="2"/>
  <c r="AP79" i="2" s="1"/>
  <c r="AP80" i="2" s="1"/>
  <c r="AP98" i="2" s="1"/>
  <c r="AP69" i="2"/>
  <c r="AP68" i="2"/>
  <c r="AP71" i="2" s="1"/>
  <c r="AP97" i="2" s="1"/>
  <c r="AP57" i="2"/>
  <c r="AP59" i="2" s="1"/>
  <c r="AP101" i="2"/>
  <c r="AP52" i="2"/>
  <c r="AO71" i="2"/>
  <c r="AO97" i="2" s="1"/>
  <c r="AJ71" i="2"/>
  <c r="AJ97" i="2" s="1"/>
  <c r="AK68" i="2"/>
  <c r="AK69" i="2"/>
  <c r="AQ7" i="15"/>
  <c r="AP9" i="15"/>
  <c r="AL65" i="2"/>
  <c r="AN9" i="2"/>
  <c r="AO7" i="2"/>
  <c r="AK65" i="15"/>
  <c r="AJ68" i="15"/>
  <c r="AQ10" i="15" l="1"/>
  <c r="AR8" i="15"/>
  <c r="AQ18" i="15"/>
  <c r="AQ19" i="15" s="1"/>
  <c r="AQ20" i="15"/>
  <c r="AQ25" i="15"/>
  <c r="AQ64" i="15"/>
  <c r="AQ49" i="15"/>
  <c r="AQ100" i="15"/>
  <c r="AQ101" i="15"/>
  <c r="AQ78" i="15"/>
  <c r="AQ79" i="15" s="1"/>
  <c r="AQ80" i="15" s="1"/>
  <c r="AQ98" i="15" s="1"/>
  <c r="AR8" i="2"/>
  <c r="AQ10" i="2"/>
  <c r="AQ25" i="2"/>
  <c r="AQ20" i="2"/>
  <c r="AQ18" i="2"/>
  <c r="AQ64" i="2"/>
  <c r="AQ68" i="2"/>
  <c r="AQ57" i="2"/>
  <c r="AQ59" i="2" s="1"/>
  <c r="AQ52" i="2"/>
  <c r="AQ69" i="2"/>
  <c r="AQ49" i="2"/>
  <c r="AQ101" i="2"/>
  <c r="AQ100" i="2"/>
  <c r="AQ78" i="2"/>
  <c r="AQ79" i="2" s="1"/>
  <c r="AQ80" i="2" s="1"/>
  <c r="AQ98" i="2" s="1"/>
  <c r="AL69" i="2"/>
  <c r="AL68" i="2"/>
  <c r="AK71" i="2"/>
  <c r="AK97" i="2" s="1"/>
  <c r="AP7" i="2"/>
  <c r="AO9" i="2"/>
  <c r="AM65" i="2"/>
  <c r="AL65" i="15"/>
  <c r="AK68" i="15"/>
  <c r="AR7" i="15"/>
  <c r="AQ9" i="15"/>
  <c r="AQ71" i="2" l="1"/>
  <c r="AQ97" i="2" s="1"/>
  <c r="AR10" i="15"/>
  <c r="AR18" i="15"/>
  <c r="AR19" i="15" s="1"/>
  <c r="AS8" i="15"/>
  <c r="AR20" i="15"/>
  <c r="AR25" i="15"/>
  <c r="AR64" i="15"/>
  <c r="AR49" i="15"/>
  <c r="AR78" i="15"/>
  <c r="AR79" i="15" s="1"/>
  <c r="AR80" i="15" s="1"/>
  <c r="AR98" i="15" s="1"/>
  <c r="AR100" i="15"/>
  <c r="AR101" i="15"/>
  <c r="AR10" i="2"/>
  <c r="AS8" i="2"/>
  <c r="AR20" i="2"/>
  <c r="AR25" i="2"/>
  <c r="AR18" i="2"/>
  <c r="AR64" i="2"/>
  <c r="AR100" i="2"/>
  <c r="AR101" i="2"/>
  <c r="AR68" i="2"/>
  <c r="AR49" i="2"/>
  <c r="AR52" i="2"/>
  <c r="AR57" i="2"/>
  <c r="AR59" i="2" s="1"/>
  <c r="AR78" i="2"/>
  <c r="AR79" i="2" s="1"/>
  <c r="AR80" i="2" s="1"/>
  <c r="AR98" i="2" s="1"/>
  <c r="AR69" i="2"/>
  <c r="AL71" i="2"/>
  <c r="AL97" i="2" s="1"/>
  <c r="AM68" i="2"/>
  <c r="AM69" i="2"/>
  <c r="AL68" i="15"/>
  <c r="AM65" i="15"/>
  <c r="AN65" i="2"/>
  <c r="AM30" i="2"/>
  <c r="AM86" i="2" s="1"/>
  <c r="AR9" i="15"/>
  <c r="AS7" i="15"/>
  <c r="AQ7" i="2"/>
  <c r="AP9" i="2"/>
  <c r="AS18" i="15" l="1"/>
  <c r="AS19" i="15" s="1"/>
  <c r="AT8" i="15"/>
  <c r="AS10" i="15"/>
  <c r="AS20" i="15"/>
  <c r="AS25" i="15"/>
  <c r="AS64" i="15"/>
  <c r="AS49" i="15"/>
  <c r="AS10" i="2"/>
  <c r="AT8" i="2"/>
  <c r="AS25" i="2"/>
  <c r="AS20" i="2"/>
  <c r="AS18" i="2"/>
  <c r="AS64" i="2"/>
  <c r="AS57" i="2"/>
  <c r="AS59" i="2" s="1"/>
  <c r="AS68" i="2"/>
  <c r="AS71" i="2" s="1"/>
  <c r="AS97" i="2" s="1"/>
  <c r="AS52" i="2"/>
  <c r="AS78" i="2"/>
  <c r="AS79" i="2" s="1"/>
  <c r="AS80" i="2" s="1"/>
  <c r="AS98" i="2" s="1"/>
  <c r="AS69" i="2"/>
  <c r="AS49" i="2"/>
  <c r="AS101" i="2"/>
  <c r="AS100" i="2"/>
  <c r="AR71" i="2"/>
  <c r="AR97" i="2" s="1"/>
  <c r="AM71" i="2"/>
  <c r="AM97" i="2" s="1"/>
  <c r="AN99" i="2"/>
  <c r="AO65" i="2"/>
  <c r="AN30" i="2"/>
  <c r="AN72" i="2"/>
  <c r="AN31" i="2" s="1"/>
  <c r="AN87" i="2" s="1"/>
  <c r="AM68" i="15"/>
  <c r="AN65" i="15"/>
  <c r="AT7" i="15"/>
  <c r="AS9" i="15"/>
  <c r="AR7" i="2"/>
  <c r="AQ9" i="2"/>
  <c r="AT18" i="15" l="1"/>
  <c r="AT19" i="15" s="1"/>
  <c r="AT10" i="15"/>
  <c r="AU8" i="15"/>
  <c r="AT20" i="15"/>
  <c r="AT25" i="15"/>
  <c r="AT64" i="15"/>
  <c r="AT78" i="15"/>
  <c r="AT79" i="15" s="1"/>
  <c r="AT80" i="15" s="1"/>
  <c r="AT98" i="15" s="1"/>
  <c r="AT101" i="15"/>
  <c r="AT100" i="15"/>
  <c r="AT68" i="15"/>
  <c r="AT69" i="15"/>
  <c r="AT52" i="15"/>
  <c r="AT49" i="15"/>
  <c r="AT57" i="15"/>
  <c r="AT59" i="15" s="1"/>
  <c r="AT10" i="2"/>
  <c r="AU8" i="2"/>
  <c r="AT20" i="2"/>
  <c r="AT25" i="2"/>
  <c r="AT18" i="2"/>
  <c r="AT64" i="2"/>
  <c r="AT68" i="2"/>
  <c r="AT71" i="2" s="1"/>
  <c r="AT97" i="2" s="1"/>
  <c r="AT57" i="2"/>
  <c r="AT59" i="2" s="1"/>
  <c r="AT100" i="2"/>
  <c r="AT49" i="2"/>
  <c r="AT52" i="2"/>
  <c r="AT101" i="2"/>
  <c r="AT78" i="2"/>
  <c r="AT79" i="2" s="1"/>
  <c r="AT80" i="2" s="1"/>
  <c r="AT98" i="2" s="1"/>
  <c r="AT69" i="2"/>
  <c r="AS7" i="2"/>
  <c r="AR9" i="2"/>
  <c r="AN68" i="15"/>
  <c r="AO65" i="15"/>
  <c r="AN86" i="2"/>
  <c r="AN32" i="2"/>
  <c r="AT9" i="15"/>
  <c r="AU7" i="15"/>
  <c r="AP65" i="2"/>
  <c r="AO30" i="2"/>
  <c r="AO72" i="2"/>
  <c r="AO31" i="2" s="1"/>
  <c r="AO87" i="2" s="1"/>
  <c r="AO99" i="2"/>
  <c r="AT71" i="15" l="1"/>
  <c r="AT97" i="15" s="1"/>
  <c r="AU18" i="15"/>
  <c r="AU19" i="15" s="1"/>
  <c r="AU10" i="15"/>
  <c r="AV8" i="15"/>
  <c r="AU20" i="15"/>
  <c r="AU25" i="15"/>
  <c r="AU64" i="15"/>
  <c r="AU52" i="15"/>
  <c r="AU101" i="15"/>
  <c r="AU68" i="15"/>
  <c r="AU78" i="15"/>
  <c r="AU79" i="15" s="1"/>
  <c r="AU80" i="15" s="1"/>
  <c r="AU98" i="15" s="1"/>
  <c r="AU49" i="15"/>
  <c r="AU69" i="15"/>
  <c r="AU57" i="15"/>
  <c r="AU59" i="15" s="1"/>
  <c r="AU100" i="15"/>
  <c r="AU10" i="2"/>
  <c r="AV8" i="2"/>
  <c r="AU25" i="2"/>
  <c r="AU20" i="2"/>
  <c r="AU18" i="2"/>
  <c r="AU64" i="2"/>
  <c r="AU78" i="2"/>
  <c r="AU79" i="2" s="1"/>
  <c r="AU80" i="2" s="1"/>
  <c r="AU98" i="2" s="1"/>
  <c r="AU68" i="2"/>
  <c r="AU71" i="2" s="1"/>
  <c r="AU97" i="2" s="1"/>
  <c r="AU100" i="2"/>
  <c r="AU52" i="2"/>
  <c r="AU57" i="2"/>
  <c r="AU59" i="2" s="1"/>
  <c r="AU101" i="2"/>
  <c r="AU69" i="2"/>
  <c r="AU49" i="2"/>
  <c r="AO68" i="15"/>
  <c r="AP65" i="15"/>
  <c r="AO32" i="2"/>
  <c r="AO86" i="2"/>
  <c r="AP72" i="2"/>
  <c r="AP31" i="2" s="1"/>
  <c r="AP87" i="2" s="1"/>
  <c r="AP99" i="2"/>
  <c r="AP30" i="2"/>
  <c r="AQ65" i="2"/>
  <c r="AV7" i="15"/>
  <c r="AU9" i="15"/>
  <c r="AS9" i="2"/>
  <c r="AT7" i="2"/>
  <c r="AU71" i="15" l="1"/>
  <c r="AU97" i="15" s="1"/>
  <c r="AV10" i="15"/>
  <c r="AV18" i="15"/>
  <c r="AV19" i="15" s="1"/>
  <c r="AW8" i="15"/>
  <c r="AV20" i="15"/>
  <c r="AV25" i="15"/>
  <c r="AV64" i="15"/>
  <c r="AV78" i="15"/>
  <c r="AV79" i="15" s="1"/>
  <c r="AV80" i="15" s="1"/>
  <c r="AV98" i="15" s="1"/>
  <c r="AV49" i="15"/>
  <c r="AV57" i="15"/>
  <c r="AV59" i="15" s="1"/>
  <c r="AV101" i="15"/>
  <c r="AV100" i="15"/>
  <c r="AV68" i="15"/>
  <c r="AV52" i="15"/>
  <c r="AV69" i="15"/>
  <c r="AV10" i="2"/>
  <c r="AW8" i="2"/>
  <c r="AV25" i="2"/>
  <c r="AV20" i="2"/>
  <c r="AV18" i="2"/>
  <c r="AV64" i="2"/>
  <c r="AV69" i="2"/>
  <c r="AV57" i="2"/>
  <c r="AV59" i="2" s="1"/>
  <c r="AV100" i="2"/>
  <c r="AV49" i="2"/>
  <c r="AV52" i="2"/>
  <c r="AV68" i="2"/>
  <c r="AV78" i="2"/>
  <c r="AV79" i="2" s="1"/>
  <c r="AV80" i="2" s="1"/>
  <c r="AV98" i="2" s="1"/>
  <c r="AV101" i="2"/>
  <c r="AT9" i="2"/>
  <c r="AU7" i="2"/>
  <c r="AW7" i="15"/>
  <c r="AV9" i="15"/>
  <c r="AQ65" i="15"/>
  <c r="AP68" i="15"/>
  <c r="AQ99" i="2"/>
  <c r="AQ72" i="2"/>
  <c r="AQ31" i="2" s="1"/>
  <c r="AQ87" i="2" s="1"/>
  <c r="AR65" i="2"/>
  <c r="AQ30" i="2"/>
  <c r="AP32" i="2"/>
  <c r="AP86" i="2"/>
  <c r="AV71" i="15" l="1"/>
  <c r="AV97" i="15" s="1"/>
  <c r="AX8" i="15"/>
  <c r="AW10" i="15"/>
  <c r="AW18" i="15"/>
  <c r="AW19" i="15" s="1"/>
  <c r="AW25" i="15"/>
  <c r="AW20" i="15"/>
  <c r="AW64" i="15"/>
  <c r="AW49" i="15"/>
  <c r="AW68" i="15"/>
  <c r="AW57" i="15"/>
  <c r="AW59" i="15" s="1"/>
  <c r="AW78" i="15"/>
  <c r="AW79" i="15" s="1"/>
  <c r="AW80" i="15" s="1"/>
  <c r="AW98" i="15" s="1"/>
  <c r="AW52" i="15"/>
  <c r="AW101" i="15"/>
  <c r="AW69" i="15"/>
  <c r="AW100" i="15"/>
  <c r="AV71" i="2"/>
  <c r="AV97" i="2" s="1"/>
  <c r="AW10" i="2"/>
  <c r="AX8" i="2"/>
  <c r="AW20" i="2"/>
  <c r="AW25" i="2"/>
  <c r="AW18" i="2"/>
  <c r="AW64" i="2"/>
  <c r="AW49" i="2"/>
  <c r="AW100" i="2"/>
  <c r="AW78" i="2"/>
  <c r="AW79" i="2" s="1"/>
  <c r="AW80" i="2" s="1"/>
  <c r="AW98" i="2" s="1"/>
  <c r="AW101" i="2"/>
  <c r="AW68" i="2"/>
  <c r="AW57" i="2"/>
  <c r="AW59" i="2" s="1"/>
  <c r="AW52" i="2"/>
  <c r="AW69" i="2"/>
  <c r="AR65" i="15"/>
  <c r="AQ68" i="15"/>
  <c r="AQ86" i="2"/>
  <c r="AQ32" i="2"/>
  <c r="AR30" i="2"/>
  <c r="AR72" i="2"/>
  <c r="AR31" i="2" s="1"/>
  <c r="AR87" i="2" s="1"/>
  <c r="AR99" i="2"/>
  <c r="AS65" i="2"/>
  <c r="AW9" i="15"/>
  <c r="AX7" i="15"/>
  <c r="AV7" i="2"/>
  <c r="AU9" i="2"/>
  <c r="AY8" i="15" l="1"/>
  <c r="AX10" i="15"/>
  <c r="AX18" i="15"/>
  <c r="AX19" i="15" s="1"/>
  <c r="AX25" i="15"/>
  <c r="AX20" i="15"/>
  <c r="AX64" i="15"/>
  <c r="AX78" i="15"/>
  <c r="AX79" i="15" s="1"/>
  <c r="AX80" i="15" s="1"/>
  <c r="AX98" i="15" s="1"/>
  <c r="AX52" i="15"/>
  <c r="AX100" i="15"/>
  <c r="AX69" i="15"/>
  <c r="AX49" i="15"/>
  <c r="AX57" i="15"/>
  <c r="AX59" i="15" s="1"/>
  <c r="AX68" i="15"/>
  <c r="AX101" i="15"/>
  <c r="AW71" i="15"/>
  <c r="AW97" i="15" s="1"/>
  <c r="AY8" i="2"/>
  <c r="AX10" i="2"/>
  <c r="AX20" i="2"/>
  <c r="AX25" i="2"/>
  <c r="AX18" i="2"/>
  <c r="AX64" i="2"/>
  <c r="AX57" i="2"/>
  <c r="AX59" i="2" s="1"/>
  <c r="AX68" i="2"/>
  <c r="AX71" i="2" s="1"/>
  <c r="AX97" i="2" s="1"/>
  <c r="AX49" i="2"/>
  <c r="AX100" i="2"/>
  <c r="AX52" i="2"/>
  <c r="AX78" i="2"/>
  <c r="AX79" i="2" s="1"/>
  <c r="AX80" i="2" s="1"/>
  <c r="AX98" i="2" s="1"/>
  <c r="AX101" i="2"/>
  <c r="AX69" i="2"/>
  <c r="AW71" i="2"/>
  <c r="AW97" i="2" s="1"/>
  <c r="AV9" i="2"/>
  <c r="AW7" i="2"/>
  <c r="AY7" i="15"/>
  <c r="AX9" i="15"/>
  <c r="AR86" i="2"/>
  <c r="AR32" i="2"/>
  <c r="AS99" i="2"/>
  <c r="AS72" i="2"/>
  <c r="AS31" i="2" s="1"/>
  <c r="AS87" i="2" s="1"/>
  <c r="AT65" i="2"/>
  <c r="AS30" i="2"/>
  <c r="AR68" i="15"/>
  <c r="AS65" i="15"/>
  <c r="AX71" i="15" l="1"/>
  <c r="AX97" i="15" s="1"/>
  <c r="AY10" i="15"/>
  <c r="AY18" i="15"/>
  <c r="AY19" i="15" s="1"/>
  <c r="AZ8" i="15"/>
  <c r="AY20" i="15"/>
  <c r="AY25" i="15"/>
  <c r="AY64" i="15"/>
  <c r="AY78" i="15"/>
  <c r="AY79" i="15" s="1"/>
  <c r="AY80" i="15" s="1"/>
  <c r="AY98" i="15" s="1"/>
  <c r="AY49" i="15"/>
  <c r="AY101" i="15"/>
  <c r="AY57" i="15"/>
  <c r="AY59" i="15" s="1"/>
  <c r="AY52" i="15"/>
  <c r="AY68" i="15"/>
  <c r="AY69" i="15"/>
  <c r="AY100" i="15"/>
  <c r="AZ8" i="2"/>
  <c r="AY10" i="2"/>
  <c r="AY20" i="2"/>
  <c r="AY25" i="2"/>
  <c r="AY18" i="2"/>
  <c r="AY64" i="2"/>
  <c r="AY49" i="2"/>
  <c r="AY52" i="2"/>
  <c r="AY68" i="2"/>
  <c r="AY57" i="2"/>
  <c r="AY59" i="2" s="1"/>
  <c r="AY101" i="2"/>
  <c r="AY100" i="2"/>
  <c r="AY78" i="2"/>
  <c r="AY79" i="2" s="1"/>
  <c r="AY80" i="2" s="1"/>
  <c r="AY98" i="2" s="1"/>
  <c r="AY69" i="2"/>
  <c r="AS30" i="15"/>
  <c r="AS86" i="15" s="1"/>
  <c r="AT65" i="15"/>
  <c r="AS68" i="15"/>
  <c r="AZ7" i="15"/>
  <c r="AY9" i="15"/>
  <c r="AS32" i="2"/>
  <c r="AS86" i="2"/>
  <c r="AT99" i="2"/>
  <c r="AT30" i="2"/>
  <c r="AT72" i="2"/>
  <c r="AT31" i="2" s="1"/>
  <c r="AT87" i="2" s="1"/>
  <c r="AU65" i="2"/>
  <c r="AW9" i="2"/>
  <c r="AX7" i="2"/>
  <c r="AZ10" i="15" l="1"/>
  <c r="AZ18" i="15"/>
  <c r="AZ19" i="15" s="1"/>
  <c r="BA8" i="15"/>
  <c r="AZ20" i="15"/>
  <c r="AZ25" i="15"/>
  <c r="AZ64" i="15"/>
  <c r="AZ100" i="15"/>
  <c r="AZ49" i="15"/>
  <c r="AZ78" i="15"/>
  <c r="AZ79" i="15" s="1"/>
  <c r="AZ80" i="15" s="1"/>
  <c r="AZ98" i="15" s="1"/>
  <c r="AZ68" i="15"/>
  <c r="AZ52" i="15"/>
  <c r="AZ101" i="15"/>
  <c r="AZ69" i="15"/>
  <c r="AZ57" i="15"/>
  <c r="AZ59" i="15" s="1"/>
  <c r="AY71" i="15"/>
  <c r="AY97" i="15" s="1"/>
  <c r="AY71" i="2"/>
  <c r="AY97" i="2" s="1"/>
  <c r="AZ10" i="2"/>
  <c r="BA8" i="2"/>
  <c r="AZ25" i="2"/>
  <c r="AZ20" i="2"/>
  <c r="AZ18" i="2"/>
  <c r="AZ64" i="2"/>
  <c r="AZ100" i="2"/>
  <c r="AZ49" i="2"/>
  <c r="AZ68" i="2"/>
  <c r="AZ101" i="2"/>
  <c r="AZ52" i="2"/>
  <c r="AZ57" i="2"/>
  <c r="AZ59" i="2" s="1"/>
  <c r="AZ78" i="2"/>
  <c r="AZ79" i="2" s="1"/>
  <c r="AZ80" i="2" s="1"/>
  <c r="AZ98" i="2" s="1"/>
  <c r="AZ69" i="2"/>
  <c r="AY7" i="2"/>
  <c r="AX9" i="2"/>
  <c r="AZ9" i="15"/>
  <c r="BA7" i="15"/>
  <c r="AU30" i="2"/>
  <c r="AU99" i="2"/>
  <c r="AU72" i="2"/>
  <c r="AU31" i="2" s="1"/>
  <c r="AU87" i="2" s="1"/>
  <c r="AV65" i="2"/>
  <c r="AT30" i="15"/>
  <c r="AT86" i="15" s="1"/>
  <c r="AU65" i="15"/>
  <c r="AT86" i="2"/>
  <c r="AT32" i="2"/>
  <c r="BA10" i="15" l="1"/>
  <c r="BA18" i="15"/>
  <c r="BA19" i="15" s="1"/>
  <c r="BB8" i="15"/>
  <c r="BA25" i="15"/>
  <c r="BA20" i="15"/>
  <c r="BA64" i="15"/>
  <c r="BA57" i="15"/>
  <c r="BA59" i="15" s="1"/>
  <c r="BA78" i="15"/>
  <c r="BA79" i="15" s="1"/>
  <c r="BA80" i="15" s="1"/>
  <c r="BA98" i="15" s="1"/>
  <c r="BA101" i="15"/>
  <c r="BA69" i="15"/>
  <c r="BA49" i="15"/>
  <c r="BA52" i="15"/>
  <c r="BA100" i="15"/>
  <c r="BA68" i="15"/>
  <c r="BA71" i="15" s="1"/>
  <c r="BA97" i="15" s="1"/>
  <c r="AZ71" i="15"/>
  <c r="AZ97" i="15" s="1"/>
  <c r="BA10" i="2"/>
  <c r="BB8" i="2"/>
  <c r="BA20" i="2"/>
  <c r="BA25" i="2"/>
  <c r="BA18" i="2"/>
  <c r="BA64" i="2"/>
  <c r="BA52" i="2"/>
  <c r="BA101" i="2"/>
  <c r="BA100" i="2"/>
  <c r="BA69" i="2"/>
  <c r="BA78" i="2"/>
  <c r="BA79" i="2" s="1"/>
  <c r="BA80" i="2" s="1"/>
  <c r="BA98" i="2" s="1"/>
  <c r="BA57" i="2"/>
  <c r="BA59" i="2" s="1"/>
  <c r="BA49" i="2"/>
  <c r="BA68" i="2"/>
  <c r="AZ71" i="2"/>
  <c r="AZ97" i="2" s="1"/>
  <c r="AV30" i="2"/>
  <c r="AV72" i="2"/>
  <c r="AV31" i="2" s="1"/>
  <c r="AV87" i="2" s="1"/>
  <c r="AV99" i="2"/>
  <c r="AW65" i="2"/>
  <c r="AU32" i="2"/>
  <c r="AU86" i="2"/>
  <c r="BB7" i="15"/>
  <c r="BA9" i="15"/>
  <c r="AV65" i="15"/>
  <c r="AU30" i="15"/>
  <c r="AU86" i="15" s="1"/>
  <c r="AZ7" i="2"/>
  <c r="AY9" i="2"/>
  <c r="BA71" i="2" l="1"/>
  <c r="BA97" i="2" s="1"/>
  <c r="BB18" i="15"/>
  <c r="BB19" i="15" s="1"/>
  <c r="BC8" i="15"/>
  <c r="BB10" i="15"/>
  <c r="BB20" i="15"/>
  <c r="BB25" i="15"/>
  <c r="BB64" i="15"/>
  <c r="BB100" i="15"/>
  <c r="BB52" i="15"/>
  <c r="BB68" i="15"/>
  <c r="BB57" i="15"/>
  <c r="BB59" i="15" s="1"/>
  <c r="BB101" i="15"/>
  <c r="BB78" i="15"/>
  <c r="BB79" i="15" s="1"/>
  <c r="BB80" i="15" s="1"/>
  <c r="BB98" i="15" s="1"/>
  <c r="BB49" i="15"/>
  <c r="BB69" i="15"/>
  <c r="BB10" i="2"/>
  <c r="BC8" i="2"/>
  <c r="BB25" i="2"/>
  <c r="BB20" i="2"/>
  <c r="BB18" i="2"/>
  <c r="BB64" i="2"/>
  <c r="BB100" i="2"/>
  <c r="BB57" i="2"/>
  <c r="BB59" i="2" s="1"/>
  <c r="BB68" i="2"/>
  <c r="BB101" i="2"/>
  <c r="BB78" i="2"/>
  <c r="BB79" i="2" s="1"/>
  <c r="BB80" i="2" s="1"/>
  <c r="BB98" i="2" s="1"/>
  <c r="BB69" i="2"/>
  <c r="BB49" i="2"/>
  <c r="BB52" i="2"/>
  <c r="BB9" i="15"/>
  <c r="BC7" i="15"/>
  <c r="AZ9" i="2"/>
  <c r="BA7" i="2"/>
  <c r="AW30" i="2"/>
  <c r="AW72" i="2"/>
  <c r="AW31" i="2" s="1"/>
  <c r="AW87" i="2" s="1"/>
  <c r="AX65" i="2"/>
  <c r="AW99" i="2"/>
  <c r="AW65" i="15"/>
  <c r="AV99" i="15"/>
  <c r="AV30" i="15"/>
  <c r="AV72" i="15"/>
  <c r="AV31" i="15" s="1"/>
  <c r="AV87" i="15" s="1"/>
  <c r="AV86" i="2"/>
  <c r="AV32" i="2"/>
  <c r="BB71" i="15" l="1"/>
  <c r="BB97" i="15" s="1"/>
  <c r="BC18" i="15"/>
  <c r="BC19" i="15" s="1"/>
  <c r="BC10" i="15"/>
  <c r="BD8" i="15"/>
  <c r="BC25" i="15"/>
  <c r="BC20" i="15"/>
  <c r="BC64" i="15"/>
  <c r="BC69" i="15"/>
  <c r="BC57" i="15"/>
  <c r="BC59" i="15" s="1"/>
  <c r="BC100" i="15"/>
  <c r="BC68" i="15"/>
  <c r="BC52" i="15"/>
  <c r="BC49" i="15"/>
  <c r="BC78" i="15"/>
  <c r="BC79" i="15" s="1"/>
  <c r="BC80" i="15" s="1"/>
  <c r="BC98" i="15" s="1"/>
  <c r="BC101" i="15"/>
  <c r="BC10" i="2"/>
  <c r="BD8" i="2"/>
  <c r="BC20" i="2"/>
  <c r="BC25" i="2"/>
  <c r="BC18" i="2"/>
  <c r="BC64" i="2"/>
  <c r="BC49" i="2"/>
  <c r="BC52" i="2"/>
  <c r="BC100" i="2"/>
  <c r="BC69" i="2"/>
  <c r="BC68" i="2"/>
  <c r="BC57" i="2"/>
  <c r="BC59" i="2" s="1"/>
  <c r="BC101" i="2"/>
  <c r="BC78" i="2"/>
  <c r="BC79" i="2" s="1"/>
  <c r="BC80" i="2" s="1"/>
  <c r="BC98" i="2" s="1"/>
  <c r="BB71" i="2"/>
  <c r="BB97" i="2" s="1"/>
  <c r="AX30" i="2"/>
  <c r="AX72" i="2"/>
  <c r="AX31" i="2" s="1"/>
  <c r="AX87" i="2" s="1"/>
  <c r="AY65" i="2"/>
  <c r="AX99" i="2"/>
  <c r="AW86" i="2"/>
  <c r="AW32" i="2"/>
  <c r="BA9" i="2"/>
  <c r="BB7" i="2"/>
  <c r="AV86" i="15"/>
  <c r="AV32" i="15"/>
  <c r="BD7" i="15"/>
  <c r="BC9" i="15"/>
  <c r="AW72" i="15"/>
  <c r="AW31" i="15" s="1"/>
  <c r="AW87" i="15" s="1"/>
  <c r="AX65" i="15"/>
  <c r="AW30" i="15"/>
  <c r="AW99" i="15"/>
  <c r="BC71" i="2" l="1"/>
  <c r="BC97" i="2" s="1"/>
  <c r="BD10" i="15"/>
  <c r="BD18" i="15"/>
  <c r="BD19" i="15" s="1"/>
  <c r="BE8" i="15"/>
  <c r="BD25" i="15"/>
  <c r="BD20" i="15"/>
  <c r="BD64" i="15"/>
  <c r="BD52" i="15"/>
  <c r="BD57" i="15"/>
  <c r="BD59" i="15" s="1"/>
  <c r="BD68" i="15"/>
  <c r="BD101" i="15"/>
  <c r="BD78" i="15"/>
  <c r="BD79" i="15" s="1"/>
  <c r="BD80" i="15" s="1"/>
  <c r="BD98" i="15" s="1"/>
  <c r="BD100" i="15"/>
  <c r="BD49" i="15"/>
  <c r="BD69" i="15"/>
  <c r="BC71" i="15"/>
  <c r="BC97" i="15" s="1"/>
  <c r="BD10" i="2"/>
  <c r="BE8" i="2"/>
  <c r="BD25" i="2"/>
  <c r="BD20" i="2"/>
  <c r="BD18" i="2"/>
  <c r="BD64" i="2"/>
  <c r="BD57" i="2"/>
  <c r="BD59" i="2" s="1"/>
  <c r="BD101" i="2"/>
  <c r="BD68" i="2"/>
  <c r="BD49" i="2"/>
  <c r="BD52" i="2"/>
  <c r="BD100" i="2"/>
  <c r="BD78" i="2"/>
  <c r="BD79" i="2" s="1"/>
  <c r="BD80" i="2" s="1"/>
  <c r="BD98" i="2" s="1"/>
  <c r="BD69" i="2"/>
  <c r="AW32" i="15"/>
  <c r="AW86" i="15"/>
  <c r="AX30" i="15"/>
  <c r="AX99" i="15"/>
  <c r="AX72" i="15"/>
  <c r="AX31" i="15" s="1"/>
  <c r="AX87" i="15" s="1"/>
  <c r="AY65" i="15"/>
  <c r="BE7" i="15"/>
  <c r="BD9" i="15"/>
  <c r="AY30" i="2"/>
  <c r="AY72" i="2"/>
  <c r="AY31" i="2" s="1"/>
  <c r="AY87" i="2" s="1"/>
  <c r="AY99" i="2"/>
  <c r="AZ65" i="2"/>
  <c r="BB9" i="2"/>
  <c r="BC7" i="2"/>
  <c r="AX32" i="2"/>
  <c r="AX86" i="2"/>
  <c r="BD71" i="15" l="1"/>
  <c r="BD97" i="15" s="1"/>
  <c r="BF8" i="15"/>
  <c r="BE10" i="15"/>
  <c r="BE18" i="15"/>
  <c r="BE19" i="15" s="1"/>
  <c r="BE25" i="15"/>
  <c r="BE20" i="15"/>
  <c r="BE64" i="15"/>
  <c r="BE100" i="15"/>
  <c r="BE101" i="15"/>
  <c r="BE78" i="15"/>
  <c r="BE79" i="15" s="1"/>
  <c r="BE80" i="15" s="1"/>
  <c r="BE98" i="15" s="1"/>
  <c r="BE52" i="15"/>
  <c r="BE49" i="15"/>
  <c r="BE68" i="15"/>
  <c r="BE69" i="15"/>
  <c r="BE57" i="15"/>
  <c r="BE59" i="15" s="1"/>
  <c r="BE10" i="2"/>
  <c r="BF8" i="2"/>
  <c r="BE20" i="2"/>
  <c r="BE25" i="2"/>
  <c r="BE18" i="2"/>
  <c r="BE64" i="2"/>
  <c r="BE101" i="2"/>
  <c r="BE78" i="2"/>
  <c r="BE79" i="2" s="1"/>
  <c r="BE80" i="2" s="1"/>
  <c r="BE98" i="2" s="1"/>
  <c r="BE57" i="2"/>
  <c r="BE59" i="2" s="1"/>
  <c r="BE100" i="2"/>
  <c r="BE68" i="2"/>
  <c r="BE49" i="2"/>
  <c r="BE52" i="2"/>
  <c r="BE69" i="2"/>
  <c r="BD71" i="2"/>
  <c r="BD97" i="2" s="1"/>
  <c r="BE9" i="15"/>
  <c r="BF7" i="15"/>
  <c r="BD7" i="2"/>
  <c r="BC9" i="2"/>
  <c r="AZ30" i="2"/>
  <c r="AZ72" i="2"/>
  <c r="AZ31" i="2" s="1"/>
  <c r="AZ87" i="2" s="1"/>
  <c r="BA65" i="2"/>
  <c r="AZ99" i="2"/>
  <c r="AX86" i="15"/>
  <c r="AX32" i="15"/>
  <c r="AY86" i="2"/>
  <c r="AY32" i="2"/>
  <c r="AZ65" i="15"/>
  <c r="AY99" i="15"/>
  <c r="AY30" i="15"/>
  <c r="AY72" i="15"/>
  <c r="AY31" i="15" s="1"/>
  <c r="AY87" i="15" s="1"/>
  <c r="BE71" i="15" l="1"/>
  <c r="BE97" i="15" s="1"/>
  <c r="BG8" i="15"/>
  <c r="BF10" i="15"/>
  <c r="BF18" i="15"/>
  <c r="BF19" i="15" s="1"/>
  <c r="BF20" i="15"/>
  <c r="BF25" i="15"/>
  <c r="BF64" i="15"/>
  <c r="BF52" i="15"/>
  <c r="BF68" i="15"/>
  <c r="BF101" i="15"/>
  <c r="BF78" i="15"/>
  <c r="BF79" i="15" s="1"/>
  <c r="BF80" i="15" s="1"/>
  <c r="BF98" i="15" s="1"/>
  <c r="BF100" i="15"/>
  <c r="BF49" i="15"/>
  <c r="BF69" i="15"/>
  <c r="BF57" i="15"/>
  <c r="BF59" i="15" s="1"/>
  <c r="BE71" i="2"/>
  <c r="BE97" i="2" s="1"/>
  <c r="BF10" i="2"/>
  <c r="BG8" i="2"/>
  <c r="BF20" i="2"/>
  <c r="BF25" i="2"/>
  <c r="BF18" i="2"/>
  <c r="BF64" i="2"/>
  <c r="BF57" i="2"/>
  <c r="BF59" i="2" s="1"/>
  <c r="BF101" i="2"/>
  <c r="BF49" i="2"/>
  <c r="BF52" i="2"/>
  <c r="BF100" i="2"/>
  <c r="BF78" i="2"/>
  <c r="BF79" i="2" s="1"/>
  <c r="BF80" i="2" s="1"/>
  <c r="BF98" i="2" s="1"/>
  <c r="BF69" i="2"/>
  <c r="BF68" i="2"/>
  <c r="AY86" i="15"/>
  <c r="AY32" i="15"/>
  <c r="BB65" i="2"/>
  <c r="BA30" i="2"/>
  <c r="BA72" i="2"/>
  <c r="BA31" i="2" s="1"/>
  <c r="BA87" i="2" s="1"/>
  <c r="BA99" i="2"/>
  <c r="AZ30" i="15"/>
  <c r="AZ99" i="15"/>
  <c r="AZ72" i="15"/>
  <c r="AZ31" i="15" s="1"/>
  <c r="AZ87" i="15" s="1"/>
  <c r="BA65" i="15"/>
  <c r="AZ86" i="2"/>
  <c r="AZ32" i="2"/>
  <c r="BE7" i="2"/>
  <c r="BD9" i="2"/>
  <c r="BG7" i="15"/>
  <c r="BF9" i="15"/>
  <c r="BF71" i="2" l="1"/>
  <c r="BF97" i="2" s="1"/>
  <c r="BG10" i="15"/>
  <c r="BH8" i="15"/>
  <c r="BG18" i="15"/>
  <c r="BG19" i="15" s="1"/>
  <c r="BG20" i="15"/>
  <c r="BG25" i="15"/>
  <c r="BG64" i="15"/>
  <c r="BG100" i="15"/>
  <c r="BG49" i="15"/>
  <c r="BG68" i="15"/>
  <c r="BG57" i="15"/>
  <c r="BG59" i="15" s="1"/>
  <c r="BG101" i="15"/>
  <c r="BG52" i="15"/>
  <c r="BG78" i="15"/>
  <c r="BG79" i="15" s="1"/>
  <c r="BG80" i="15" s="1"/>
  <c r="BG98" i="15" s="1"/>
  <c r="BG69" i="15"/>
  <c r="BF71" i="15"/>
  <c r="BF97" i="15" s="1"/>
  <c r="BH8" i="2"/>
  <c r="BG10" i="2"/>
  <c r="BG20" i="2"/>
  <c r="BG25" i="2"/>
  <c r="BG18" i="2"/>
  <c r="BG64" i="2"/>
  <c r="BG101" i="2"/>
  <c r="BG68" i="2"/>
  <c r="BG52" i="2"/>
  <c r="BG78" i="2"/>
  <c r="BG79" i="2" s="1"/>
  <c r="BG80" i="2" s="1"/>
  <c r="BG98" i="2" s="1"/>
  <c r="BG69" i="2"/>
  <c r="BG49" i="2"/>
  <c r="BG100" i="2"/>
  <c r="BG57" i="2"/>
  <c r="BG59" i="2" s="1"/>
  <c r="AZ86" i="15"/>
  <c r="AZ32" i="15"/>
  <c r="BE9" i="2"/>
  <c r="BF7" i="2"/>
  <c r="BA86" i="2"/>
  <c r="BA32" i="2"/>
  <c r="BB99" i="2"/>
  <c r="BB30" i="2"/>
  <c r="BB72" i="2"/>
  <c r="BB31" i="2" s="1"/>
  <c r="BB87" i="2" s="1"/>
  <c r="BC65" i="2"/>
  <c r="BH7" i="15"/>
  <c r="BG9" i="15"/>
  <c r="BA99" i="15"/>
  <c r="BA30" i="15"/>
  <c r="BA72" i="15"/>
  <c r="BA31" i="15" s="1"/>
  <c r="BA87" i="15" s="1"/>
  <c r="BB65" i="15"/>
  <c r="BG71" i="2" l="1"/>
  <c r="BG97" i="2" s="1"/>
  <c r="BH18" i="15"/>
  <c r="BH19" i="15" s="1"/>
  <c r="BI8" i="15"/>
  <c r="BH10" i="15"/>
  <c r="BH25" i="15"/>
  <c r="BH20" i="15"/>
  <c r="BH64" i="15"/>
  <c r="BH57" i="15"/>
  <c r="BH59" i="15" s="1"/>
  <c r="BH52" i="15"/>
  <c r="BH69" i="15"/>
  <c r="BH100" i="15"/>
  <c r="BH68" i="15"/>
  <c r="BH71" i="15" s="1"/>
  <c r="BH97" i="15" s="1"/>
  <c r="BH78" i="15"/>
  <c r="BH79" i="15" s="1"/>
  <c r="BH80" i="15" s="1"/>
  <c r="BH98" i="15" s="1"/>
  <c r="BH101" i="15"/>
  <c r="BH49" i="15"/>
  <c r="BG71" i="15"/>
  <c r="BG97" i="15" s="1"/>
  <c r="BH10" i="2"/>
  <c r="BI8" i="2"/>
  <c r="BH25" i="2"/>
  <c r="BH20" i="2"/>
  <c r="BH18" i="2"/>
  <c r="BH64" i="2"/>
  <c r="BH52" i="2"/>
  <c r="BH57" i="2"/>
  <c r="BH59" i="2" s="1"/>
  <c r="BH49" i="2"/>
  <c r="BH100" i="2"/>
  <c r="BH78" i="2"/>
  <c r="BH79" i="2" s="1"/>
  <c r="BH80" i="2" s="1"/>
  <c r="BH98" i="2" s="1"/>
  <c r="BH101" i="2"/>
  <c r="BH69" i="2"/>
  <c r="BH68" i="2"/>
  <c r="BA86" i="15"/>
  <c r="BA32" i="15"/>
  <c r="BB86" i="2"/>
  <c r="BB32" i="2"/>
  <c r="BH9" i="15"/>
  <c r="BI7" i="15"/>
  <c r="BG7" i="2"/>
  <c r="BF9" i="2"/>
  <c r="BC30" i="2"/>
  <c r="BD65" i="2"/>
  <c r="BC72" i="2"/>
  <c r="BC31" i="2" s="1"/>
  <c r="BC87" i="2" s="1"/>
  <c r="BB30" i="15"/>
  <c r="BB72" i="15"/>
  <c r="BB31" i="15" s="1"/>
  <c r="BB87" i="15" s="1"/>
  <c r="BB99" i="15"/>
  <c r="BC65" i="15"/>
  <c r="BH71" i="2" l="1"/>
  <c r="BH97" i="2" s="1"/>
  <c r="BI18" i="15"/>
  <c r="BI19" i="15" s="1"/>
  <c r="BJ8" i="15"/>
  <c r="BI10" i="15"/>
  <c r="BI25" i="15"/>
  <c r="BI20" i="15"/>
  <c r="BI64" i="15"/>
  <c r="BI100" i="15"/>
  <c r="BI101" i="15"/>
  <c r="BI78" i="15"/>
  <c r="BI79" i="15" s="1"/>
  <c r="BI80" i="15" s="1"/>
  <c r="BI98" i="15" s="1"/>
  <c r="BI49" i="15"/>
  <c r="BI68" i="15"/>
  <c r="BI52" i="15"/>
  <c r="BI57" i="15"/>
  <c r="BI59" i="15" s="1"/>
  <c r="BI69" i="15"/>
  <c r="BI10" i="2"/>
  <c r="BJ8" i="2"/>
  <c r="BI25" i="2"/>
  <c r="BI20" i="2"/>
  <c r="BI18" i="2"/>
  <c r="BI64" i="2"/>
  <c r="BI69" i="2"/>
  <c r="BI57" i="2"/>
  <c r="BI59" i="2" s="1"/>
  <c r="BI68" i="2"/>
  <c r="BI49" i="2"/>
  <c r="BI101" i="2"/>
  <c r="BI52" i="2"/>
  <c r="BI78" i="2"/>
  <c r="BI79" i="2" s="1"/>
  <c r="BI80" i="2" s="1"/>
  <c r="BI98" i="2" s="1"/>
  <c r="BI100" i="2"/>
  <c r="BD65" i="15"/>
  <c r="BC30" i="15"/>
  <c r="BC72" i="15"/>
  <c r="BC31" i="15" s="1"/>
  <c r="BC87" i="15" s="1"/>
  <c r="BH7" i="2"/>
  <c r="BG9" i="2"/>
  <c r="BJ7" i="15"/>
  <c r="BI9" i="15"/>
  <c r="BD30" i="2"/>
  <c r="BE65" i="2"/>
  <c r="BD72" i="2"/>
  <c r="BD31" i="2" s="1"/>
  <c r="BD87" i="2" s="1"/>
  <c r="BC86" i="2"/>
  <c r="BC32" i="2"/>
  <c r="BB86" i="15"/>
  <c r="BB32" i="15"/>
  <c r="BI71" i="15" l="1"/>
  <c r="BI97" i="15" s="1"/>
  <c r="BJ18" i="15"/>
  <c r="BJ19" i="15" s="1"/>
  <c r="BJ10" i="15"/>
  <c r="BK8" i="15"/>
  <c r="BJ20" i="15"/>
  <c r="BJ25" i="15"/>
  <c r="BJ64" i="15"/>
  <c r="BJ52" i="15"/>
  <c r="BJ100" i="15"/>
  <c r="BJ68" i="15"/>
  <c r="BJ57" i="15"/>
  <c r="BJ59" i="15" s="1"/>
  <c r="BJ69" i="15"/>
  <c r="BJ101" i="15"/>
  <c r="BJ49" i="15"/>
  <c r="BJ78" i="15"/>
  <c r="BJ79" i="15" s="1"/>
  <c r="BJ80" i="15" s="1"/>
  <c r="BJ98" i="15" s="1"/>
  <c r="BJ10" i="2"/>
  <c r="BK8" i="2"/>
  <c r="BJ20" i="2"/>
  <c r="BJ25" i="2"/>
  <c r="BJ18" i="2"/>
  <c r="BJ64" i="2"/>
  <c r="BJ52" i="2"/>
  <c r="BJ101" i="2"/>
  <c r="BJ69" i="2"/>
  <c r="BJ78" i="2"/>
  <c r="BJ79" i="2" s="1"/>
  <c r="BJ80" i="2" s="1"/>
  <c r="BJ98" i="2" s="1"/>
  <c r="BJ49" i="2"/>
  <c r="BJ57" i="2"/>
  <c r="BJ59" i="2" s="1"/>
  <c r="BJ100" i="2"/>
  <c r="BJ68" i="2"/>
  <c r="BI71" i="2"/>
  <c r="BI97" i="2" s="1"/>
  <c r="BD86" i="2"/>
  <c r="BD32" i="2"/>
  <c r="BJ9" i="15"/>
  <c r="BK7" i="15"/>
  <c r="BK9" i="15" s="1"/>
  <c r="BH9" i="2"/>
  <c r="BI7" i="2"/>
  <c r="BC86" i="15"/>
  <c r="BC32" i="15"/>
  <c r="BE30" i="2"/>
  <c r="BE72" i="2"/>
  <c r="BE31" i="2" s="1"/>
  <c r="BE87" i="2" s="1"/>
  <c r="BF65" i="2"/>
  <c r="BD72" i="15"/>
  <c r="BD31" i="15" s="1"/>
  <c r="BD87" i="15" s="1"/>
  <c r="BE65" i="15"/>
  <c r="BD30" i="15"/>
  <c r="BJ71" i="2" l="1"/>
  <c r="BJ97" i="2" s="1"/>
  <c r="BK18" i="15"/>
  <c r="BK19" i="15" s="1"/>
  <c r="BK10" i="15"/>
  <c r="BK25" i="15"/>
  <c r="B25" i="15" s="1"/>
  <c r="BK20" i="15"/>
  <c r="B20" i="15" s="1"/>
  <c r="BK64" i="15"/>
  <c r="BK52" i="15"/>
  <c r="BK101" i="15"/>
  <c r="BK68" i="15"/>
  <c r="BK49" i="15"/>
  <c r="BK78" i="15"/>
  <c r="BK79" i="15" s="1"/>
  <c r="BK80" i="15" s="1"/>
  <c r="BK98" i="15" s="1"/>
  <c r="BK69" i="15"/>
  <c r="BK57" i="15"/>
  <c r="BK59" i="15" s="1"/>
  <c r="BK100" i="15"/>
  <c r="BJ71" i="15"/>
  <c r="BJ97" i="15" s="1"/>
  <c r="BK10" i="2"/>
  <c r="BK25" i="2"/>
  <c r="B25" i="2" s="1"/>
  <c r="BK20" i="2"/>
  <c r="B20" i="2" s="1"/>
  <c r="BK18" i="2"/>
  <c r="BK64" i="2"/>
  <c r="BK57" i="2"/>
  <c r="BK59" i="2" s="1"/>
  <c r="BK69" i="2"/>
  <c r="BK100" i="2"/>
  <c r="BK52" i="2"/>
  <c r="BK101" i="2"/>
  <c r="BK68" i="2"/>
  <c r="BK78" i="2"/>
  <c r="BK79" i="2" s="1"/>
  <c r="BK80" i="2" s="1"/>
  <c r="BK98" i="2" s="1"/>
  <c r="BK49" i="2"/>
  <c r="BE30" i="15"/>
  <c r="BE72" i="15"/>
  <c r="BE31" i="15" s="1"/>
  <c r="BE87" i="15" s="1"/>
  <c r="BF65" i="15"/>
  <c r="BD32" i="15"/>
  <c r="BD86" i="15"/>
  <c r="BI9" i="2"/>
  <c r="BJ7" i="2"/>
  <c r="BG65" i="2"/>
  <c r="BF72" i="2"/>
  <c r="BF31" i="2" s="1"/>
  <c r="BF87" i="2" s="1"/>
  <c r="BF30" i="2"/>
  <c r="BE86" i="2"/>
  <c r="BE32" i="2"/>
  <c r="BK71" i="15" l="1"/>
  <c r="BK97" i="15" s="1"/>
  <c r="BK71" i="2"/>
  <c r="BK97" i="2" s="1"/>
  <c r="BK7" i="2"/>
  <c r="BK9" i="2" s="1"/>
  <c r="BJ9" i="2"/>
  <c r="BE86" i="15"/>
  <c r="BE32" i="15"/>
  <c r="BG72" i="2"/>
  <c r="BG31" i="2" s="1"/>
  <c r="BG87" i="2" s="1"/>
  <c r="BH65" i="2"/>
  <c r="BG30" i="2"/>
  <c r="BF86" i="2"/>
  <c r="BF32" i="2"/>
  <c r="BF30" i="15"/>
  <c r="BF72" i="15"/>
  <c r="BF31" i="15" s="1"/>
  <c r="BF87" i="15" s="1"/>
  <c r="BG65" i="15"/>
  <c r="BG86" i="2" l="1"/>
  <c r="BG32" i="2"/>
  <c r="BH72" i="2"/>
  <c r="BH31" i="2" s="1"/>
  <c r="BH87" i="2" s="1"/>
  <c r="BH30" i="2"/>
  <c r="BI65" i="2"/>
  <c r="BG30" i="15"/>
  <c r="BG72" i="15"/>
  <c r="BG31" i="15" s="1"/>
  <c r="BG87" i="15" s="1"/>
  <c r="BH65" i="15"/>
  <c r="BF86" i="15"/>
  <c r="BF32" i="15"/>
  <c r="BG86" i="15" l="1"/>
  <c r="BG32" i="15"/>
  <c r="BI72" i="2"/>
  <c r="BI31" i="2" s="1"/>
  <c r="BI87" i="2" s="1"/>
  <c r="BJ65" i="2"/>
  <c r="BI30" i="2"/>
  <c r="BH32" i="2"/>
  <c r="BH86" i="2"/>
  <c r="BH72" i="15"/>
  <c r="BH31" i="15" s="1"/>
  <c r="BH87" i="15" s="1"/>
  <c r="BI65" i="15"/>
  <c r="BH30" i="15"/>
  <c r="BI86" i="2" l="1"/>
  <c r="BI32" i="2"/>
  <c r="BJ30" i="2"/>
  <c r="BJ72" i="2"/>
  <c r="BJ31" i="2" s="1"/>
  <c r="BJ87" i="2" s="1"/>
  <c r="BK65" i="2"/>
  <c r="BH32" i="15"/>
  <c r="BH86" i="15"/>
  <c r="BI30" i="15"/>
  <c r="BJ65" i="15"/>
  <c r="BI72" i="15"/>
  <c r="BI31" i="15" s="1"/>
  <c r="BI87" i="15" s="1"/>
  <c r="BK30" i="2" l="1"/>
  <c r="BK72" i="2"/>
  <c r="BK31" i="2" s="1"/>
  <c r="BK87" i="2" s="1"/>
  <c r="BJ86" i="2"/>
  <c r="BJ32" i="2"/>
  <c r="BI32" i="15"/>
  <c r="BI86" i="15"/>
  <c r="BJ30" i="15"/>
  <c r="BK65" i="15"/>
  <c r="BJ72" i="15"/>
  <c r="BJ31" i="15" s="1"/>
  <c r="BJ87" i="15" s="1"/>
  <c r="BJ32" i="15" l="1"/>
  <c r="BJ86" i="15"/>
  <c r="BK32" i="2"/>
  <c r="BK86" i="2"/>
  <c r="BK72" i="15"/>
  <c r="BK31" i="15" s="1"/>
  <c r="BK87" i="15" s="1"/>
  <c r="BK30" i="15"/>
  <c r="BK32" i="15" l="1"/>
  <c r="BK86" i="15"/>
  <c r="AM72" i="2" l="1"/>
  <c r="AM31" i="2" s="1"/>
  <c r="AM32" i="2" s="1"/>
  <c r="AM99" i="2"/>
  <c r="AN100" i="2"/>
  <c r="AN101" i="2"/>
  <c r="AN100" i="15"/>
  <c r="AN101" i="15"/>
  <c r="AM87" i="2" l="1"/>
  <c r="AU72" i="15" l="1"/>
  <c r="AU31" i="15" s="1"/>
  <c r="AU32" i="15" s="1"/>
  <c r="AT72" i="15"/>
  <c r="AT31" i="15" s="1"/>
  <c r="AT32" i="15" s="1"/>
  <c r="AS99" i="15"/>
  <c r="AT99" i="15"/>
  <c r="AU99" i="15"/>
  <c r="AT87" i="15" l="1"/>
  <c r="AU87" i="15"/>
  <c r="AG100" i="15" l="1"/>
  <c r="AG101" i="15"/>
  <c r="T72" i="15"/>
  <c r="T31" i="15" s="1"/>
  <c r="T87" i="15" s="1"/>
  <c r="U72" i="15"/>
  <c r="U31" i="15" s="1"/>
  <c r="U87" i="15" s="1"/>
  <c r="AE99" i="15"/>
  <c r="AF99" i="15"/>
  <c r="V72" i="15"/>
  <c r="V31" i="15" s="1"/>
  <c r="W72" i="15"/>
  <c r="W31" i="15" s="1"/>
  <c r="W87" i="15" s="1"/>
  <c r="X72" i="15"/>
  <c r="X31" i="15" s="1"/>
  <c r="X87" i="15" s="1"/>
  <c r="Y72" i="15"/>
  <c r="Y31" i="15" s="1"/>
  <c r="Y87" i="15" s="1"/>
  <c r="Z72" i="15"/>
  <c r="Z31" i="15" s="1"/>
  <c r="Z87" i="15" s="1"/>
  <c r="AG99" i="15"/>
  <c r="AH99" i="15"/>
  <c r="AI99" i="15"/>
  <c r="AJ99" i="15"/>
  <c r="AK99" i="15"/>
  <c r="AL99" i="15"/>
  <c r="V87" i="15" l="1"/>
  <c r="AK100" i="2"/>
  <c r="AK101" i="2"/>
  <c r="L22" i="1" l="1"/>
  <c r="L25" i="1" s="1"/>
  <c r="K25" i="1" l="1"/>
  <c r="L28" i="1"/>
  <c r="K28" i="1" s="1"/>
  <c r="L27" i="1"/>
  <c r="K27" i="1" s="1"/>
  <c r="L26" i="1"/>
  <c r="K26" i="1" s="1"/>
  <c r="L29" i="1"/>
  <c r="K29" i="1" s="1"/>
  <c r="AI69" i="2" l="1"/>
  <c r="AI71" i="2" s="1"/>
  <c r="AH69" i="2"/>
  <c r="AH71" i="2" s="1"/>
  <c r="AI97" i="2" l="1"/>
  <c r="AH97" i="2"/>
  <c r="AS69" i="15"/>
  <c r="AS71" i="15" s="1"/>
  <c r="AQ69" i="15"/>
  <c r="AQ71" i="15" s="1"/>
  <c r="AR69" i="15"/>
  <c r="AR71" i="15" s="1"/>
  <c r="AP69" i="15"/>
  <c r="AP71" i="15" s="1"/>
  <c r="AS78" i="15" l="1"/>
  <c r="AP97" i="15"/>
  <c r="AR97" i="15"/>
  <c r="AQ97" i="15"/>
  <c r="AS72" i="15"/>
  <c r="AS31" i="15" s="1"/>
  <c r="AS97" i="15"/>
  <c r="AS32" i="15" l="1"/>
  <c r="AS87" i="15"/>
  <c r="AI78" i="2"/>
  <c r="AS79" i="15"/>
  <c r="AS80" i="15" s="1"/>
  <c r="AI79" i="2" l="1"/>
  <c r="AI80" i="2" s="1"/>
  <c r="AS98" i="15"/>
  <c r="AI98" i="2" l="1"/>
  <c r="AI100" i="2"/>
  <c r="AI101" i="2"/>
  <c r="AP72" i="15" l="1"/>
  <c r="AP31" i="15" s="1"/>
  <c r="AQ72" i="15"/>
  <c r="AQ31" i="15" s="1"/>
  <c r="AP52" i="15"/>
  <c r="AQ52" i="15"/>
  <c r="AR52" i="15"/>
  <c r="AS52" i="15"/>
  <c r="AP57" i="15"/>
  <c r="AP59" i="15" s="1"/>
  <c r="AQ57" i="15"/>
  <c r="AQ59" i="15" s="1"/>
  <c r="AR57" i="15"/>
  <c r="AR59" i="15" s="1"/>
  <c r="AS57" i="15"/>
  <c r="AS59" i="15" s="1"/>
  <c r="AS100" i="15"/>
  <c r="AS101" i="15"/>
  <c r="AM99" i="15" l="1"/>
  <c r="AM30" i="15"/>
  <c r="AM86" i="15" s="1"/>
  <c r="AN99" i="15"/>
  <c r="AN30" i="15"/>
  <c r="AN86" i="15" s="1"/>
  <c r="AR99" i="15"/>
  <c r="AR30" i="15"/>
  <c r="AR86" i="15" s="1"/>
  <c r="AQ99" i="15"/>
  <c r="AQ30" i="15"/>
  <c r="AQ86" i="15" s="1"/>
  <c r="AP99" i="15"/>
  <c r="AP30" i="15"/>
  <c r="AP86" i="15" s="1"/>
  <c r="AO99" i="15"/>
  <c r="AO30" i="15"/>
  <c r="AO86" i="15" s="1"/>
  <c r="AP87" i="15"/>
  <c r="AR72" i="15"/>
  <c r="AR31" i="15" s="1"/>
  <c r="AQ87" i="15"/>
  <c r="AQ32" i="15" l="1"/>
  <c r="AP32" i="15"/>
  <c r="AR32" i="15"/>
  <c r="AR87" i="15"/>
  <c r="AA72" i="15"/>
  <c r="AA31" i="15" s="1"/>
  <c r="AA87" i="15" s="1"/>
  <c r="K30" i="1" l="1"/>
  <c r="L30" i="1" s="1"/>
  <c r="F40" i="1" s="1"/>
  <c r="L44" i="1" l="1"/>
  <c r="L45" i="1"/>
  <c r="L75" i="1"/>
  <c r="K75" i="1" s="1"/>
  <c r="W15" i="1"/>
  <c r="W18" i="1" s="1"/>
  <c r="W21" i="1" s="1"/>
  <c r="R30" i="1"/>
  <c r="S30" i="1" s="1"/>
  <c r="S45" i="1" s="1"/>
  <c r="D33" i="14" l="1"/>
  <c r="L46" i="1"/>
  <c r="U26" i="2" s="1"/>
  <c r="S44" i="1"/>
  <c r="S46" i="1" s="1"/>
  <c r="S34" i="1"/>
  <c r="S75" i="1"/>
  <c r="D50" i="14" s="1"/>
  <c r="X15" i="1"/>
  <c r="AM26" i="2" l="1"/>
  <c r="R26" i="2"/>
  <c r="L76" i="1"/>
  <c r="D34" i="14" s="1"/>
  <c r="R75" i="1"/>
  <c r="BD26" i="2"/>
  <c r="AE26" i="2"/>
  <c r="AD26" i="2"/>
  <c r="X26" i="2"/>
  <c r="AA26" i="2"/>
  <c r="AG26" i="2"/>
  <c r="Y26" i="2"/>
  <c r="B24" i="2"/>
  <c r="E26" i="2"/>
  <c r="AL26" i="2"/>
  <c r="AS26" i="2"/>
  <c r="N26" i="2"/>
  <c r="AC26" i="2"/>
  <c r="AZ26" i="2"/>
  <c r="P26" i="2"/>
  <c r="W26" i="2"/>
  <c r="BJ26" i="2"/>
  <c r="C26" i="2"/>
  <c r="I26" i="2"/>
  <c r="AV26" i="2"/>
  <c r="AY26" i="2"/>
  <c r="L26" i="2"/>
  <c r="AU26" i="2"/>
  <c r="AO26" i="2"/>
  <c r="V26" i="2"/>
  <c r="AJ26" i="2"/>
  <c r="T26" i="2"/>
  <c r="AX26" i="2"/>
  <c r="BF26" i="2"/>
  <c r="AI26" i="2"/>
  <c r="AQ26" i="2"/>
  <c r="BA26" i="2"/>
  <c r="F26" i="2"/>
  <c r="AH26" i="2"/>
  <c r="D26" i="2"/>
  <c r="M26" i="2"/>
  <c r="BE26" i="2"/>
  <c r="BB26" i="2"/>
  <c r="Q26" i="2"/>
  <c r="AP26" i="2"/>
  <c r="S26" i="2"/>
  <c r="AN26" i="2"/>
  <c r="BK26" i="2"/>
  <c r="AB26" i="2"/>
  <c r="K46" i="1"/>
  <c r="O26" i="2"/>
  <c r="BH26" i="2"/>
  <c r="K26" i="2"/>
  <c r="AR26" i="2"/>
  <c r="BG26" i="2"/>
  <c r="AT26" i="2"/>
  <c r="BC26" i="2"/>
  <c r="J26" i="2"/>
  <c r="AW26" i="2"/>
  <c r="G26" i="2"/>
  <c r="BI26" i="2"/>
  <c r="AK26" i="2"/>
  <c r="Z26" i="2"/>
  <c r="AF26" i="2"/>
  <c r="H26" i="2"/>
  <c r="BG26" i="15"/>
  <c r="BH26" i="15"/>
  <c r="W26" i="15"/>
  <c r="AN26" i="15"/>
  <c r="J26" i="15"/>
  <c r="AG26" i="15"/>
  <c r="I26" i="15"/>
  <c r="AI26" i="15"/>
  <c r="E26" i="15"/>
  <c r="S26" i="15"/>
  <c r="K26" i="15"/>
  <c r="U26" i="15"/>
  <c r="BI26" i="15"/>
  <c r="N26" i="15"/>
  <c r="BE26" i="15"/>
  <c r="AS26" i="15"/>
  <c r="AM26" i="15"/>
  <c r="B24" i="15"/>
  <c r="R46" i="1"/>
  <c r="Y26" i="15"/>
  <c r="BC26" i="15"/>
  <c r="AV26" i="15"/>
  <c r="AY26" i="15"/>
  <c r="AD26" i="15"/>
  <c r="V26" i="15"/>
  <c r="AQ26" i="15"/>
  <c r="F26" i="15"/>
  <c r="S76" i="1"/>
  <c r="D51" i="14" s="1"/>
  <c r="G26" i="15"/>
  <c r="AL26" i="15"/>
  <c r="BJ26" i="15"/>
  <c r="R26" i="15"/>
  <c r="M26" i="15"/>
  <c r="BA26" i="15"/>
  <c r="AR26" i="15"/>
  <c r="AC26" i="15"/>
  <c r="AB26" i="15"/>
  <c r="BB26" i="15"/>
  <c r="AK26" i="15"/>
  <c r="D26" i="15"/>
  <c r="AO26" i="15"/>
  <c r="AZ26" i="15"/>
  <c r="BK26" i="15"/>
  <c r="AH26" i="15"/>
  <c r="Z26" i="15"/>
  <c r="AT26" i="15"/>
  <c r="AP26" i="15"/>
  <c r="AF26" i="15"/>
  <c r="AX26" i="15"/>
  <c r="P26" i="15"/>
  <c r="AW26" i="15"/>
  <c r="O26" i="15"/>
  <c r="BF26" i="15"/>
  <c r="Q26" i="15"/>
  <c r="T26" i="15"/>
  <c r="L26" i="15"/>
  <c r="AE26" i="15"/>
  <c r="C26" i="15"/>
  <c r="AU26" i="15"/>
  <c r="AA26" i="15"/>
  <c r="H26" i="15"/>
  <c r="X26" i="15"/>
  <c r="AJ26" i="15"/>
  <c r="BD26" i="15"/>
  <c r="BE21" i="15"/>
  <c r="BE22" i="15" s="1"/>
  <c r="BJ21" i="15"/>
  <c r="BJ22" i="15" s="1"/>
  <c r="AM21" i="15"/>
  <c r="AM22" i="15" s="1"/>
  <c r="AG21" i="15"/>
  <c r="AG22" i="15" s="1"/>
  <c r="AL21" i="15"/>
  <c r="AL22" i="15" s="1"/>
  <c r="Y21" i="15"/>
  <c r="Y22" i="15" s="1"/>
  <c r="AO21" i="15"/>
  <c r="AO22" i="15" s="1"/>
  <c r="AN21" i="15"/>
  <c r="AN22" i="15" s="1"/>
  <c r="AD21" i="15"/>
  <c r="AD22" i="15" s="1"/>
  <c r="M21" i="15"/>
  <c r="M22" i="15" s="1"/>
  <c r="E21" i="15"/>
  <c r="E22" i="15" s="1"/>
  <c r="AU21" i="15"/>
  <c r="AU22" i="15" s="1"/>
  <c r="U21" i="15"/>
  <c r="U22" i="15" s="1"/>
  <c r="L21" i="15"/>
  <c r="L22" i="15" s="1"/>
  <c r="BA21" i="15"/>
  <c r="BA22" i="15" s="1"/>
  <c r="AW21" i="15"/>
  <c r="AW22" i="15" s="1"/>
  <c r="Q21" i="15"/>
  <c r="Q22" i="15" s="1"/>
  <c r="AX21" i="15"/>
  <c r="AX22" i="15" s="1"/>
  <c r="AV21" i="15"/>
  <c r="AV22" i="15" s="1"/>
  <c r="S21" i="15"/>
  <c r="S22" i="15" s="1"/>
  <c r="Z21" i="15"/>
  <c r="Z22" i="15" s="1"/>
  <c r="H21" i="15"/>
  <c r="H22" i="15" s="1"/>
  <c r="D21" i="15"/>
  <c r="D22" i="15" s="1"/>
  <c r="V21" i="15"/>
  <c r="V22" i="15" s="1"/>
  <c r="I21" i="15"/>
  <c r="I22" i="15" s="1"/>
  <c r="AZ21" i="15"/>
  <c r="AZ22" i="15" s="1"/>
  <c r="AZ34" i="15" s="1"/>
  <c r="AZ88" i="15" s="1"/>
  <c r="AZ89" i="15" s="1"/>
  <c r="AZ36" i="16" s="1"/>
  <c r="F21" i="15"/>
  <c r="F22" i="15" s="1"/>
  <c r="BG21" i="15"/>
  <c r="BG22" i="15" s="1"/>
  <c r="BH21" i="15"/>
  <c r="BH22" i="15" s="1"/>
  <c r="AJ21" i="15"/>
  <c r="AJ22" i="15" s="1"/>
  <c r="P21" i="15"/>
  <c r="P22" i="15" s="1"/>
  <c r="BC21" i="15"/>
  <c r="BC22" i="15" s="1"/>
  <c r="AR21" i="15"/>
  <c r="AR22" i="15" s="1"/>
  <c r="T21" i="15"/>
  <c r="T22" i="15" s="1"/>
  <c r="BB21" i="15"/>
  <c r="BB22" i="15" s="1"/>
  <c r="BI21" i="15"/>
  <c r="BI22" i="15" s="1"/>
  <c r="AY21" i="15"/>
  <c r="AY22" i="15" s="1"/>
  <c r="AA21" i="15"/>
  <c r="AA22" i="15" s="1"/>
  <c r="K21" i="15"/>
  <c r="K22" i="15" s="1"/>
  <c r="BD21" i="15"/>
  <c r="BD22" i="15" s="1"/>
  <c r="BD34" i="15" s="1"/>
  <c r="BD88" i="15" s="1"/>
  <c r="BD89" i="15" s="1"/>
  <c r="BD36" i="16" s="1"/>
  <c r="AB21" i="15"/>
  <c r="AB22" i="15" s="1"/>
  <c r="R21" i="15"/>
  <c r="R22" i="15" s="1"/>
  <c r="AS21" i="15"/>
  <c r="AS22" i="15" s="1"/>
  <c r="AI21" i="15"/>
  <c r="AI22" i="15" s="1"/>
  <c r="W21" i="15"/>
  <c r="W22" i="15" s="1"/>
  <c r="C21" i="15"/>
  <c r="C22" i="15" s="1"/>
  <c r="S35" i="1"/>
  <c r="R33" i="1" s="1"/>
  <c r="R34" i="1" s="1"/>
  <c r="N21" i="15"/>
  <c r="N22" i="15" s="1"/>
  <c r="J21" i="15"/>
  <c r="J22" i="15" s="1"/>
  <c r="AE21" i="15"/>
  <c r="AE22" i="15" s="1"/>
  <c r="AK21" i="15"/>
  <c r="AK22" i="15" s="1"/>
  <c r="BK21" i="15"/>
  <c r="BK22" i="15" s="1"/>
  <c r="AH21" i="15"/>
  <c r="AH22" i="15" s="1"/>
  <c r="AC21" i="15"/>
  <c r="AC22" i="15" s="1"/>
  <c r="O21" i="15"/>
  <c r="O22" i="15" s="1"/>
  <c r="BF21" i="15"/>
  <c r="BF22" i="15" s="1"/>
  <c r="AF21" i="15"/>
  <c r="AF22" i="15" s="1"/>
  <c r="AP21" i="15"/>
  <c r="AP22" i="15" s="1"/>
  <c r="X21" i="15"/>
  <c r="X22" i="15" s="1"/>
  <c r="AT21" i="15"/>
  <c r="AT22" i="15" s="1"/>
  <c r="AQ21" i="15"/>
  <c r="AQ22" i="15" s="1"/>
  <c r="G21" i="15"/>
  <c r="G22" i="15" s="1"/>
  <c r="E69" i="15"/>
  <c r="E71" i="15" s="1"/>
  <c r="E97" i="15" s="1"/>
  <c r="N69" i="2"/>
  <c r="N71" i="2" s="1"/>
  <c r="N97" i="2" s="1"/>
  <c r="G69" i="2"/>
  <c r="G71" i="2" s="1"/>
  <c r="G97" i="2" s="1"/>
  <c r="G69" i="15"/>
  <c r="G71" i="15" s="1"/>
  <c r="G97" i="15" s="1"/>
  <c r="J69" i="2"/>
  <c r="J71" i="2" s="1"/>
  <c r="J97" i="2" s="1"/>
  <c r="L69" i="2"/>
  <c r="L71" i="2" s="1"/>
  <c r="L97" i="2" s="1"/>
  <c r="L69" i="15"/>
  <c r="L71" i="15" s="1"/>
  <c r="L97" i="15" s="1"/>
  <c r="F69" i="2"/>
  <c r="F71" i="2" s="1"/>
  <c r="F97" i="2" s="1"/>
  <c r="H69" i="15"/>
  <c r="H71" i="15" s="1"/>
  <c r="H97" i="15" s="1"/>
  <c r="D69" i="15"/>
  <c r="D71" i="15" s="1"/>
  <c r="D97" i="15" s="1"/>
  <c r="W20" i="1"/>
  <c r="K69" i="2"/>
  <c r="K71" i="2" s="1"/>
  <c r="K97" i="2" s="1"/>
  <c r="N69" i="15"/>
  <c r="N71" i="15" s="1"/>
  <c r="N97" i="15" s="1"/>
  <c r="I69" i="2"/>
  <c r="I71" i="2" s="1"/>
  <c r="I97" i="2" s="1"/>
  <c r="H69" i="2"/>
  <c r="H71" i="2" s="1"/>
  <c r="H97" i="2" s="1"/>
  <c r="J69" i="15"/>
  <c r="J71" i="15" s="1"/>
  <c r="J97" i="15" s="1"/>
  <c r="F69" i="15"/>
  <c r="F71" i="15" s="1"/>
  <c r="F97" i="15" s="1"/>
  <c r="M69" i="2"/>
  <c r="M71" i="2" s="1"/>
  <c r="M97" i="2" s="1"/>
  <c r="D69" i="2"/>
  <c r="D71" i="2" s="1"/>
  <c r="D97" i="2" s="1"/>
  <c r="O69" i="15"/>
  <c r="O71" i="15" s="1"/>
  <c r="O97" i="15" s="1"/>
  <c r="K69" i="15"/>
  <c r="K71" i="15" s="1"/>
  <c r="K97" i="15" s="1"/>
  <c r="O69" i="2"/>
  <c r="O71" i="2" s="1"/>
  <c r="O97" i="2" s="1"/>
  <c r="C69" i="2"/>
  <c r="C71" i="2" s="1"/>
  <c r="C97" i="2" s="1"/>
  <c r="I69" i="15"/>
  <c r="I71" i="15" s="1"/>
  <c r="I97" i="15" s="1"/>
  <c r="M69" i="15"/>
  <c r="M71" i="15" s="1"/>
  <c r="M97" i="15" s="1"/>
  <c r="C69" i="15"/>
  <c r="C71" i="15" s="1"/>
  <c r="C97" i="15" s="1"/>
  <c r="E69" i="2"/>
  <c r="E71" i="2" s="1"/>
  <c r="E97" i="2" s="1"/>
  <c r="X18" i="1"/>
  <c r="X21" i="1" s="1"/>
  <c r="Y15" i="1"/>
  <c r="BF34" i="15" l="1"/>
  <c r="BF88" i="15" s="1"/>
  <c r="BF89" i="15" s="1"/>
  <c r="BF36" i="16" s="1"/>
  <c r="BC34" i="15"/>
  <c r="BC88" i="15" s="1"/>
  <c r="BC89" i="15" s="1"/>
  <c r="BC36" i="16" s="1"/>
  <c r="K76" i="1"/>
  <c r="BK34" i="15"/>
  <c r="BK88" i="15" s="1"/>
  <c r="BK89" i="15" s="1"/>
  <c r="AU34" i="15"/>
  <c r="AU88" i="15" s="1"/>
  <c r="AU89" i="15" s="1"/>
  <c r="AU36" i="16" s="1"/>
  <c r="AW34" i="15"/>
  <c r="AW88" i="15" s="1"/>
  <c r="AW89" i="15" s="1"/>
  <c r="AW36" i="16" s="1"/>
  <c r="B26" i="2"/>
  <c r="BA34" i="15"/>
  <c r="BA88" i="15" s="1"/>
  <c r="BA89" i="15" s="1"/>
  <c r="BA36" i="16" s="1"/>
  <c r="R76" i="1"/>
  <c r="BG34" i="15"/>
  <c r="BG88" i="15" s="1"/>
  <c r="BG89" i="15" s="1"/>
  <c r="BG36" i="16" s="1"/>
  <c r="BI34" i="15"/>
  <c r="BI88" i="15" s="1"/>
  <c r="BI89" i="15" s="1"/>
  <c r="BI36" i="16" s="1"/>
  <c r="AX34" i="15"/>
  <c r="AX88" i="15" s="1"/>
  <c r="AX89" i="15" s="1"/>
  <c r="AX36" i="16" s="1"/>
  <c r="AR34" i="15"/>
  <c r="AR88" i="15" s="1"/>
  <c r="AR89" i="15" s="1"/>
  <c r="AR36" i="16" s="1"/>
  <c r="AT34" i="15"/>
  <c r="AT88" i="15" s="1"/>
  <c r="AT89" i="15" s="1"/>
  <c r="AT36" i="16" s="1"/>
  <c r="BB34" i="15"/>
  <c r="BB88" i="15" s="1"/>
  <c r="BB89" i="15" s="1"/>
  <c r="BB36" i="16" s="1"/>
  <c r="AV34" i="15"/>
  <c r="AV88" i="15" s="1"/>
  <c r="AV89" i="15" s="1"/>
  <c r="AV36" i="16" s="1"/>
  <c r="AY34" i="15"/>
  <c r="AY88" i="15" s="1"/>
  <c r="AY89" i="15" s="1"/>
  <c r="AY36" i="16" s="1"/>
  <c r="AP34" i="15"/>
  <c r="AP88" i="15" s="1"/>
  <c r="AP89" i="15" s="1"/>
  <c r="AP36" i="16" s="1"/>
  <c r="B26" i="15"/>
  <c r="BH34" i="15"/>
  <c r="BH88" i="15" s="1"/>
  <c r="BH89" i="15" s="1"/>
  <c r="BH36" i="16" s="1"/>
  <c r="AQ34" i="15"/>
  <c r="AQ88" i="15" s="1"/>
  <c r="AQ89" i="15" s="1"/>
  <c r="AQ36" i="16" s="1"/>
  <c r="AS34" i="15"/>
  <c r="AS88" i="15" s="1"/>
  <c r="AS89" i="15" s="1"/>
  <c r="AS36" i="16" s="1"/>
  <c r="BJ34" i="15"/>
  <c r="BJ88" i="15" s="1"/>
  <c r="BJ89" i="15" s="1"/>
  <c r="BJ36" i="16" s="1"/>
  <c r="BE34" i="15"/>
  <c r="BE88" i="15" s="1"/>
  <c r="BE89" i="15" s="1"/>
  <c r="BE36" i="16" s="1"/>
  <c r="B22" i="15"/>
  <c r="Z15" i="1"/>
  <c r="Y18" i="1"/>
  <c r="Y21" i="1" s="1"/>
  <c r="S69" i="15"/>
  <c r="S71" i="15" s="1"/>
  <c r="S97" i="15" s="1"/>
  <c r="Q69" i="2"/>
  <c r="Q71" i="2" s="1"/>
  <c r="Q97" i="2" s="1"/>
  <c r="P69" i="15"/>
  <c r="P71" i="15" s="1"/>
  <c r="P97" i="15" s="1"/>
  <c r="U69" i="2"/>
  <c r="U71" i="2" s="1"/>
  <c r="Z69" i="15"/>
  <c r="Z71" i="15" s="1"/>
  <c r="Z97" i="15" s="1"/>
  <c r="X20" i="1"/>
  <c r="R69" i="2"/>
  <c r="R71" i="2" s="1"/>
  <c r="R97" i="2" s="1"/>
  <c r="V69" i="2"/>
  <c r="V71" i="2" s="1"/>
  <c r="V97" i="2" s="1"/>
  <c r="P69" i="2"/>
  <c r="P71" i="2" s="1"/>
  <c r="P97" i="2" s="1"/>
  <c r="T69" i="15"/>
  <c r="T71" i="15" s="1"/>
  <c r="T97" i="15" s="1"/>
  <c r="W69" i="2"/>
  <c r="W71" i="2" s="1"/>
  <c r="W97" i="2" s="1"/>
  <c r="V69" i="15"/>
  <c r="V71" i="15" s="1"/>
  <c r="V97" i="15" s="1"/>
  <c r="Z69" i="2"/>
  <c r="Z71" i="2" s="1"/>
  <c r="Z97" i="2" s="1"/>
  <c r="S69" i="2"/>
  <c r="S71" i="2" s="1"/>
  <c r="AA69" i="2"/>
  <c r="AA71" i="2" s="1"/>
  <c r="AA97" i="2" s="1"/>
  <c r="T69" i="2"/>
  <c r="T71" i="2" s="1"/>
  <c r="R69" i="15"/>
  <c r="R71" i="15" s="1"/>
  <c r="R97" i="15" s="1"/>
  <c r="AA69" i="15"/>
  <c r="AA71" i="15" s="1"/>
  <c r="AA97" i="15" s="1"/>
  <c r="Y69" i="15"/>
  <c r="Y71" i="15" s="1"/>
  <c r="Y97" i="15" s="1"/>
  <c r="W69" i="15"/>
  <c r="W71" i="15" s="1"/>
  <c r="W97" i="15" s="1"/>
  <c r="Y69" i="2"/>
  <c r="Y71" i="2" s="1"/>
  <c r="Y97" i="2" s="1"/>
  <c r="U69" i="15"/>
  <c r="U71" i="15" s="1"/>
  <c r="U97" i="15" s="1"/>
  <c r="X69" i="15"/>
  <c r="X71" i="15" s="1"/>
  <c r="X97" i="15" s="1"/>
  <c r="Q69" i="15"/>
  <c r="Q71" i="15" s="1"/>
  <c r="Q97" i="15" s="1"/>
  <c r="X69" i="2"/>
  <c r="X71" i="2" s="1"/>
  <c r="X97" i="2" s="1"/>
  <c r="S97" i="2" l="1"/>
  <c r="U97" i="2"/>
  <c r="T97" i="2"/>
  <c r="AB69" i="15"/>
  <c r="AB71" i="15" s="1"/>
  <c r="AB97" i="15" s="1"/>
  <c r="Y20" i="1"/>
  <c r="AJ69" i="15"/>
  <c r="AJ71" i="15" s="1"/>
  <c r="AJ97" i="15" s="1"/>
  <c r="AM69" i="15"/>
  <c r="AM71" i="15" s="1"/>
  <c r="AL69" i="15"/>
  <c r="AL71" i="15" s="1"/>
  <c r="AL97" i="15" s="1"/>
  <c r="AF69" i="2"/>
  <c r="AF71" i="2" s="1"/>
  <c r="AF97" i="2" s="1"/>
  <c r="AE69" i="2"/>
  <c r="AE71" i="2" s="1"/>
  <c r="AE97" i="2" s="1"/>
  <c r="AK69" i="15"/>
  <c r="AK71" i="15" s="1"/>
  <c r="AK97" i="15" s="1"/>
  <c r="AG69" i="15"/>
  <c r="AG71" i="15" s="1"/>
  <c r="AG97" i="15" s="1"/>
  <c r="AD69" i="2"/>
  <c r="AD71" i="2" s="1"/>
  <c r="AD97" i="2" s="1"/>
  <c r="AB69" i="2"/>
  <c r="AB71" i="2" s="1"/>
  <c r="AB97" i="2" s="1"/>
  <c r="AF69" i="15"/>
  <c r="AF71" i="15" s="1"/>
  <c r="AF97" i="15" s="1"/>
  <c r="AG69" i="2"/>
  <c r="AG71" i="2" s="1"/>
  <c r="AH69" i="15"/>
  <c r="AH71" i="15" s="1"/>
  <c r="AH97" i="15" s="1"/>
  <c r="AC69" i="15"/>
  <c r="AC71" i="15" s="1"/>
  <c r="AC97" i="15" s="1"/>
  <c r="AI69" i="15"/>
  <c r="AI71" i="15" s="1"/>
  <c r="AI97" i="15" s="1"/>
  <c r="AC69" i="2"/>
  <c r="AC71" i="2" s="1"/>
  <c r="AC97" i="2" s="1"/>
  <c r="AD69" i="15"/>
  <c r="AD71" i="15" s="1"/>
  <c r="AD97" i="15" s="1"/>
  <c r="AE69" i="15"/>
  <c r="AE71" i="15" s="1"/>
  <c r="AE97" i="15" s="1"/>
  <c r="Z18" i="1"/>
  <c r="AA15" i="1"/>
  <c r="AO69" i="15" l="1"/>
  <c r="AO71" i="15" s="1"/>
  <c r="AN69" i="15"/>
  <c r="AN71" i="15" s="1"/>
  <c r="AN97" i="15" s="1"/>
  <c r="Z20" i="1"/>
  <c r="R109" i="1" s="1"/>
  <c r="Z21" i="1"/>
  <c r="AB15" i="1"/>
  <c r="AA18" i="1"/>
  <c r="AG97" i="2"/>
  <c r="AM97" i="15"/>
  <c r="J109" i="1"/>
  <c r="K109" i="1"/>
  <c r="Q109" i="1" l="1"/>
  <c r="B77" i="2"/>
  <c r="B78" i="2" s="1"/>
  <c r="AE78" i="2" s="1"/>
  <c r="AE79" i="2" s="1"/>
  <c r="AE80" i="2" s="1"/>
  <c r="AE98" i="2" s="1"/>
  <c r="AO97" i="15"/>
  <c r="AO72" i="15"/>
  <c r="AO31" i="15" s="1"/>
  <c r="AA78" i="15"/>
  <c r="AA79" i="15" s="1"/>
  <c r="AA80" i="15" s="1"/>
  <c r="AA98" i="15" s="1"/>
  <c r="AA20" i="1"/>
  <c r="B77" i="15" s="1"/>
  <c r="B78" i="15" s="1"/>
  <c r="R112" i="1" s="1"/>
  <c r="D59" i="14" s="1"/>
  <c r="AA21" i="1"/>
  <c r="AM78" i="2"/>
  <c r="AM79" i="2" s="1"/>
  <c r="AM80" i="2" s="1"/>
  <c r="AM98" i="2" s="1"/>
  <c r="U78" i="2"/>
  <c r="U79" i="2" s="1"/>
  <c r="U80" i="2" s="1"/>
  <c r="U98" i="2" s="1"/>
  <c r="AM78" i="15"/>
  <c r="AC15" i="1"/>
  <c r="AB18" i="1"/>
  <c r="AG78" i="2" l="1"/>
  <c r="AG79" i="2" s="1"/>
  <c r="AG80" i="2" s="1"/>
  <c r="AG98" i="2" s="1"/>
  <c r="AD78" i="2"/>
  <c r="AD79" i="2" s="1"/>
  <c r="AD80" i="2" s="1"/>
  <c r="AD98" i="2" s="1"/>
  <c r="K112" i="1"/>
  <c r="D42" i="14" s="1"/>
  <c r="AO78" i="15"/>
  <c r="AO79" i="15" s="1"/>
  <c r="AO80" i="15" s="1"/>
  <c r="AO98" i="15" s="1"/>
  <c r="AO87" i="15"/>
  <c r="AO32" i="15"/>
  <c r="AO34" i="15" s="1"/>
  <c r="AO6" i="16" s="1"/>
  <c r="AB20" i="1"/>
  <c r="AB21" i="1"/>
  <c r="AM79" i="15"/>
  <c r="AM80" i="15" s="1"/>
  <c r="AC18" i="1"/>
  <c r="AD15" i="1"/>
  <c r="AO88" i="15" l="1"/>
  <c r="AO89" i="15" s="1"/>
  <c r="AO36" i="16" s="1"/>
  <c r="AC20" i="1"/>
  <c r="AC21" i="1"/>
  <c r="AE15" i="1"/>
  <c r="AD18" i="1"/>
  <c r="AM98" i="15"/>
  <c r="AD20" i="1" l="1"/>
  <c r="AD21" i="1"/>
  <c r="AE18" i="1"/>
  <c r="AF15" i="1"/>
  <c r="AF18" i="1" s="1"/>
  <c r="K33" i="1"/>
  <c r="L33" i="1" s="1"/>
  <c r="AF20" i="1" l="1"/>
  <c r="AF21" i="1"/>
  <c r="AE20" i="1"/>
  <c r="AE21" i="1"/>
  <c r="K34" i="1"/>
  <c r="L34" i="1" s="1"/>
  <c r="H21" i="2" s="1"/>
  <c r="AK19" i="2"/>
  <c r="AI19" i="2"/>
  <c r="AN19" i="2"/>
  <c r="V19" i="2"/>
  <c r="AV19" i="2"/>
  <c r="BH19" i="2"/>
  <c r="AD19" i="2"/>
  <c r="AQ19" i="2"/>
  <c r="AR19" i="2"/>
  <c r="F19" i="2"/>
  <c r="T19" i="2"/>
  <c r="AA19" i="2"/>
  <c r="X19" i="2"/>
  <c r="BC19" i="2"/>
  <c r="S19" i="2"/>
  <c r="AZ19" i="2"/>
  <c r="P19" i="2"/>
  <c r="AE19" i="2"/>
  <c r="AT19" i="2"/>
  <c r="AX19" i="2"/>
  <c r="BG19" i="2"/>
  <c r="D19" i="2"/>
  <c r="BB19" i="2"/>
  <c r="J19" i="2"/>
  <c r="AJ19" i="2"/>
  <c r="BJ19" i="2"/>
  <c r="BF19" i="2"/>
  <c r="AP19" i="2"/>
  <c r="AM19" i="2"/>
  <c r="Y19" i="2"/>
  <c r="K19" i="2"/>
  <c r="AB19" i="2"/>
  <c r="AL19" i="2"/>
  <c r="AF19" i="2"/>
  <c r="Z19" i="2"/>
  <c r="O19" i="2"/>
  <c r="AO19" i="2"/>
  <c r="AU19" i="2"/>
  <c r="BD19" i="2"/>
  <c r="N19" i="2"/>
  <c r="BK19" i="2"/>
  <c r="R19" i="2"/>
  <c r="G19" i="2"/>
  <c r="E19" i="2"/>
  <c r="AY19" i="2"/>
  <c r="L19" i="2"/>
  <c r="H19" i="2"/>
  <c r="AH19" i="2"/>
  <c r="W19" i="2"/>
  <c r="BI19" i="2"/>
  <c r="I19" i="2"/>
  <c r="AW19" i="2"/>
  <c r="Q19" i="2"/>
  <c r="BE19" i="2"/>
  <c r="M19" i="2"/>
  <c r="AC19" i="2"/>
  <c r="AS19" i="2"/>
  <c r="C19" i="2"/>
  <c r="AG19" i="2"/>
  <c r="BA19" i="2"/>
  <c r="U19" i="2"/>
  <c r="AD21" i="2" l="1"/>
  <c r="AD22" i="2" s="1"/>
  <c r="BD21" i="2"/>
  <c r="BD22" i="2" s="1"/>
  <c r="BD34" i="2" s="1"/>
  <c r="BD88" i="2" s="1"/>
  <c r="BD89" i="2" s="1"/>
  <c r="BD35" i="16" s="1"/>
  <c r="AO21" i="2"/>
  <c r="AO22" i="2" s="1"/>
  <c r="AO34" i="2" s="1"/>
  <c r="AO88" i="2" s="1"/>
  <c r="AO89" i="2" s="1"/>
  <c r="AO35" i="16" s="1"/>
  <c r="V21" i="2"/>
  <c r="V22" i="2" s="1"/>
  <c r="O21" i="2"/>
  <c r="O22" i="2" s="1"/>
  <c r="AP21" i="2"/>
  <c r="AP22" i="2" s="1"/>
  <c r="AP34" i="2" s="1"/>
  <c r="AP88" i="2" s="1"/>
  <c r="AP89" i="2" s="1"/>
  <c r="AP35" i="16" s="1"/>
  <c r="AQ21" i="2"/>
  <c r="AQ22" i="2" s="1"/>
  <c r="AQ34" i="2" s="1"/>
  <c r="AQ88" i="2" s="1"/>
  <c r="AQ89" i="2" s="1"/>
  <c r="AQ35" i="16" s="1"/>
  <c r="AA21" i="2"/>
  <c r="AA22" i="2" s="1"/>
  <c r="Y21" i="2"/>
  <c r="Y22" i="2" s="1"/>
  <c r="BK21" i="2"/>
  <c r="BK22" i="2" s="1"/>
  <c r="BK34" i="2" s="1"/>
  <c r="BK88" i="2" s="1"/>
  <c r="BK89" i="2" s="1"/>
  <c r="AX21" i="2"/>
  <c r="AX22" i="2" s="1"/>
  <c r="AX34" i="2" s="1"/>
  <c r="AX88" i="2" s="1"/>
  <c r="AX89" i="2" s="1"/>
  <c r="AX35" i="16" s="1"/>
  <c r="F21" i="2"/>
  <c r="F22" i="2" s="1"/>
  <c r="AW21" i="2"/>
  <c r="AW22" i="2" s="1"/>
  <c r="AW34" i="2" s="1"/>
  <c r="AW88" i="2" s="1"/>
  <c r="AW89" i="2" s="1"/>
  <c r="AW35" i="16" s="1"/>
  <c r="BJ21" i="2"/>
  <c r="BJ22" i="2" s="1"/>
  <c r="BJ34" i="2" s="1"/>
  <c r="BJ88" i="2" s="1"/>
  <c r="BJ89" i="2" s="1"/>
  <c r="BJ35" i="16" s="1"/>
  <c r="L35" i="1"/>
  <c r="BB21" i="2"/>
  <c r="BB22" i="2" s="1"/>
  <c r="BB34" i="2" s="1"/>
  <c r="BB88" i="2" s="1"/>
  <c r="BB89" i="2" s="1"/>
  <c r="BB35" i="16" s="1"/>
  <c r="P21" i="2"/>
  <c r="P22" i="2" s="1"/>
  <c r="J21" i="2"/>
  <c r="J22" i="2" s="1"/>
  <c r="X21" i="2"/>
  <c r="X22" i="2" s="1"/>
  <c r="AL21" i="2"/>
  <c r="AL22" i="2" s="1"/>
  <c r="L21" i="2"/>
  <c r="L22" i="2" s="1"/>
  <c r="K21" i="2"/>
  <c r="K22" i="2" s="1"/>
  <c r="M21" i="2"/>
  <c r="M22" i="2" s="1"/>
  <c r="AG21" i="2"/>
  <c r="AG22" i="2" s="1"/>
  <c r="BI21" i="2"/>
  <c r="BI22" i="2" s="1"/>
  <c r="BI34" i="2" s="1"/>
  <c r="BI88" i="2" s="1"/>
  <c r="BI89" i="2" s="1"/>
  <c r="BI35" i="16" s="1"/>
  <c r="W21" i="2"/>
  <c r="W22" i="2" s="1"/>
  <c r="AS21" i="2"/>
  <c r="AS22" i="2" s="1"/>
  <c r="AS34" i="2" s="1"/>
  <c r="AS88" i="2" s="1"/>
  <c r="AS89" i="2" s="1"/>
  <c r="AS35" i="16" s="1"/>
  <c r="D21" i="2"/>
  <c r="D22" i="2" s="1"/>
  <c r="BF21" i="2"/>
  <c r="BF22" i="2" s="1"/>
  <c r="BF34" i="2" s="1"/>
  <c r="BF88" i="2" s="1"/>
  <c r="BF89" i="2" s="1"/>
  <c r="BF35" i="16" s="1"/>
  <c r="AZ21" i="2"/>
  <c r="AZ22" i="2" s="1"/>
  <c r="AZ34" i="2" s="1"/>
  <c r="AZ88" i="2" s="1"/>
  <c r="AZ89" i="2" s="1"/>
  <c r="AZ35" i="16" s="1"/>
  <c r="BH21" i="2"/>
  <c r="BH22" i="2" s="1"/>
  <c r="BH34" i="2" s="1"/>
  <c r="BH88" i="2" s="1"/>
  <c r="BH89" i="2" s="1"/>
  <c r="BH35" i="16" s="1"/>
  <c r="AY21" i="2"/>
  <c r="AY22" i="2" s="1"/>
  <c r="AY34" i="2" s="1"/>
  <c r="AY88" i="2" s="1"/>
  <c r="AY89" i="2" s="1"/>
  <c r="AY35" i="16" s="1"/>
  <c r="AJ21" i="2"/>
  <c r="AJ22" i="2" s="1"/>
  <c r="Q21" i="2"/>
  <c r="Q22" i="2" s="1"/>
  <c r="AN21" i="2"/>
  <c r="AN22" i="2" s="1"/>
  <c r="AN34" i="2" s="1"/>
  <c r="AN88" i="2" s="1"/>
  <c r="AN89" i="2" s="1"/>
  <c r="AN35" i="16" s="1"/>
  <c r="E21" i="2"/>
  <c r="E22" i="2" s="1"/>
  <c r="R21" i="2"/>
  <c r="R22" i="2" s="1"/>
  <c r="T21" i="2"/>
  <c r="T22" i="2" s="1"/>
  <c r="AV21" i="2"/>
  <c r="AV22" i="2" s="1"/>
  <c r="AV34" i="2" s="1"/>
  <c r="AV88" i="2" s="1"/>
  <c r="AV89" i="2" s="1"/>
  <c r="AV35" i="16" s="1"/>
  <c r="AI21" i="2"/>
  <c r="AI22" i="2" s="1"/>
  <c r="BG21" i="2"/>
  <c r="BG22" i="2" s="1"/>
  <c r="BG34" i="2" s="1"/>
  <c r="BG88" i="2" s="1"/>
  <c r="BG89" i="2" s="1"/>
  <c r="BG35" i="16" s="1"/>
  <c r="BE21" i="2"/>
  <c r="BE22" i="2" s="1"/>
  <c r="S21" i="2"/>
  <c r="S22" i="2" s="1"/>
  <c r="C21" i="2"/>
  <c r="C22" i="2" s="1"/>
  <c r="I21" i="2"/>
  <c r="I22" i="2" s="1"/>
  <c r="AB21" i="2"/>
  <c r="AB22" i="2" s="1"/>
  <c r="AK21" i="2"/>
  <c r="AK22" i="2" s="1"/>
  <c r="U21" i="2"/>
  <c r="U22" i="2" s="1"/>
  <c r="AM21" i="2"/>
  <c r="AM22" i="2" s="1"/>
  <c r="AM34" i="2" s="1"/>
  <c r="AM88" i="2" s="1"/>
  <c r="AM89" i="2" s="1"/>
  <c r="AM35" i="16" s="1"/>
  <c r="BA21" i="2"/>
  <c r="BA22" i="2" s="1"/>
  <c r="BA34" i="2" s="1"/>
  <c r="BA88" i="2" s="1"/>
  <c r="BA89" i="2" s="1"/>
  <c r="BA35" i="16" s="1"/>
  <c r="N21" i="2"/>
  <c r="N22" i="2" s="1"/>
  <c r="Z21" i="2"/>
  <c r="Z22" i="2" s="1"/>
  <c r="AH21" i="2"/>
  <c r="AH22" i="2" s="1"/>
  <c r="AT21" i="2"/>
  <c r="AT22" i="2" s="1"/>
  <c r="AT34" i="2" s="1"/>
  <c r="AT88" i="2" s="1"/>
  <c r="AT89" i="2" s="1"/>
  <c r="AT35" i="16" s="1"/>
  <c r="AR21" i="2"/>
  <c r="AR22" i="2" s="1"/>
  <c r="AR34" i="2" s="1"/>
  <c r="AR88" i="2" s="1"/>
  <c r="AR89" i="2" s="1"/>
  <c r="AR35" i="16" s="1"/>
  <c r="AC21" i="2"/>
  <c r="AC22" i="2" s="1"/>
  <c r="AE21" i="2"/>
  <c r="AE22" i="2" s="1"/>
  <c r="BC21" i="2"/>
  <c r="BC22" i="2" s="1"/>
  <c r="BC34" i="2" s="1"/>
  <c r="BC88" i="2" s="1"/>
  <c r="BC89" i="2" s="1"/>
  <c r="BC35" i="16" s="1"/>
  <c r="AU21" i="2"/>
  <c r="AU22" i="2" s="1"/>
  <c r="AU34" i="2" s="1"/>
  <c r="AU88" i="2" s="1"/>
  <c r="AU89" i="2" s="1"/>
  <c r="AU35" i="16" s="1"/>
  <c r="G21" i="2"/>
  <c r="G22" i="2" s="1"/>
  <c r="AF21" i="2"/>
  <c r="AF22" i="2" s="1"/>
  <c r="H22" i="2"/>
  <c r="AN5" i="16" l="1"/>
  <c r="AM5" i="16"/>
  <c r="AO5" i="16"/>
  <c r="BE34" i="2"/>
  <c r="B22" i="2"/>
  <c r="BE88" i="2" l="1"/>
  <c r="BE89" i="2" s="1"/>
  <c r="BE35" i="16" s="1"/>
  <c r="AJ72" i="2" l="1"/>
  <c r="AJ31" i="2" s="1"/>
  <c r="AK72" i="2"/>
  <c r="AK31" i="2" s="1"/>
  <c r="AL72" i="2"/>
  <c r="AL31" i="2" s="1"/>
  <c r="AH52" i="2"/>
  <c r="AI52" i="2"/>
  <c r="AJ52" i="2"/>
  <c r="AK52" i="2"/>
  <c r="AL52" i="2"/>
  <c r="AM52" i="2"/>
  <c r="AH57" i="2"/>
  <c r="AH59" i="2" s="1"/>
  <c r="AI57" i="2"/>
  <c r="AI59" i="2" s="1"/>
  <c r="AJ57" i="2"/>
  <c r="AJ59" i="2" s="1"/>
  <c r="AK57" i="2"/>
  <c r="AK59" i="2" s="1"/>
  <c r="AL57" i="2"/>
  <c r="AL59" i="2" s="1"/>
  <c r="AM57" i="2"/>
  <c r="AM59" i="2" s="1"/>
  <c r="AI72" i="2"/>
  <c r="AI31" i="2" s="1"/>
  <c r="AM100" i="2"/>
  <c r="AM101" i="2"/>
  <c r="AH99" i="2" l="1"/>
  <c r="AH30" i="2"/>
  <c r="AH86" i="2" s="1"/>
  <c r="AG99" i="2"/>
  <c r="AG30" i="2"/>
  <c r="AG86" i="2" s="1"/>
  <c r="AL99" i="2"/>
  <c r="AL30" i="2"/>
  <c r="AL86" i="2" s="1"/>
  <c r="AK99" i="2"/>
  <c r="AK30" i="2"/>
  <c r="AK86" i="2" s="1"/>
  <c r="AJ99" i="2"/>
  <c r="AJ30" i="2"/>
  <c r="AJ86" i="2" s="1"/>
  <c r="AI99" i="2"/>
  <c r="AI30" i="2"/>
  <c r="AI86" i="2" s="1"/>
  <c r="AH72" i="2"/>
  <c r="AH31" i="2" s="1"/>
  <c r="AG72" i="2"/>
  <c r="AG31" i="2" s="1"/>
  <c r="AL87" i="2"/>
  <c r="AK87" i="2"/>
  <c r="AI87" i="2"/>
  <c r="AJ87" i="2"/>
  <c r="AG32" i="2" l="1"/>
  <c r="AG34" i="2" s="1"/>
  <c r="AG5" i="16" s="1"/>
  <c r="AH32" i="2"/>
  <c r="AH34" i="2" s="1"/>
  <c r="AH5" i="16" s="1"/>
  <c r="AL32" i="2"/>
  <c r="AL34" i="2" s="1"/>
  <c r="AI32" i="2"/>
  <c r="AI34" i="2" s="1"/>
  <c r="AI88" i="2" s="1"/>
  <c r="AI89" i="2" s="1"/>
  <c r="AI35" i="16" s="1"/>
  <c r="AK32" i="2"/>
  <c r="AK34" i="2" s="1"/>
  <c r="AK88" i="2" s="1"/>
  <c r="AK89" i="2" s="1"/>
  <c r="AK35" i="16" s="1"/>
  <c r="AJ32" i="2"/>
  <c r="AJ34" i="2" s="1"/>
  <c r="AG87" i="2"/>
  <c r="AH87" i="2"/>
  <c r="AG88" i="2" l="1"/>
  <c r="AG89" i="2" s="1"/>
  <c r="AG35" i="16" s="1"/>
  <c r="AH88" i="2"/>
  <c r="AH89" i="2" s="1"/>
  <c r="AH35" i="16" s="1"/>
  <c r="AK5" i="16"/>
  <c r="AI5" i="16"/>
  <c r="AJ88" i="2"/>
  <c r="AJ89" i="2" s="1"/>
  <c r="AJ35" i="16" s="1"/>
  <c r="AJ5" i="16"/>
  <c r="AL5" i="16"/>
  <c r="AL88" i="2"/>
  <c r="AL89" i="2" s="1"/>
  <c r="AL35" i="16" s="1"/>
  <c r="U100" i="2" l="1"/>
  <c r="U101" i="2"/>
  <c r="AA100" i="15"/>
  <c r="AA101" i="15"/>
  <c r="AH30" i="15"/>
  <c r="AH86" i="15" s="1"/>
  <c r="AF30" i="15"/>
  <c r="AI30" i="15"/>
  <c r="AI86" i="15" s="1"/>
  <c r="AG30" i="15"/>
  <c r="AE30" i="15"/>
  <c r="AE86" i="15" s="1"/>
  <c r="AD30" i="15"/>
  <c r="AD86" i="15" s="1"/>
  <c r="AL30" i="15"/>
  <c r="AL86" i="15" s="1"/>
  <c r="AK30" i="15"/>
  <c r="AK86" i="15" s="1"/>
  <c r="AJ30" i="15"/>
  <c r="Z30" i="2"/>
  <c r="Y30" i="2"/>
  <c r="Y86" i="2" s="1"/>
  <c r="AF30" i="2"/>
  <c r="AF86" i="2" s="1"/>
  <c r="X30" i="2"/>
  <c r="X86" i="2" s="1"/>
  <c r="AE30" i="2"/>
  <c r="AE86" i="2" s="1"/>
  <c r="W30" i="2"/>
  <c r="W86" i="2" s="1"/>
  <c r="AD30" i="2"/>
  <c r="V30" i="2"/>
  <c r="V86" i="2" s="1"/>
  <c r="AC30" i="2"/>
  <c r="AB30" i="2"/>
  <c r="AB86" i="2" s="1"/>
  <c r="AA30" i="2"/>
  <c r="AA86" i="2" s="1"/>
  <c r="AC86" i="2" l="1"/>
  <c r="Z86" i="2"/>
  <c r="AG86" i="15"/>
  <c r="AJ86" i="15"/>
  <c r="AD86" i="2"/>
  <c r="AF86" i="15"/>
  <c r="AB72" i="15"/>
  <c r="AB31" i="15" s="1"/>
  <c r="AC72" i="15"/>
  <c r="AC31" i="15" s="1"/>
  <c r="AC87" i="15" s="1"/>
  <c r="AM100" i="15"/>
  <c r="AM101" i="15"/>
  <c r="AB87" i="15" l="1"/>
  <c r="T30" i="2"/>
  <c r="U30" i="2"/>
  <c r="U86" i="2" s="1"/>
  <c r="AE49" i="2"/>
  <c r="AE99" i="2" s="1"/>
  <c r="AF49" i="2"/>
  <c r="AF99" i="2" s="1"/>
  <c r="AF52" i="2"/>
  <c r="AG52" i="2"/>
  <c r="AF57" i="2"/>
  <c r="AF59" i="2" s="1"/>
  <c r="AG57" i="2"/>
  <c r="T86" i="2"/>
  <c r="AG100" i="2"/>
  <c r="AG101" i="2"/>
  <c r="AE72" i="2" l="1"/>
  <c r="AE31" i="2" s="1"/>
  <c r="AE32" i="2" s="1"/>
  <c r="AE34" i="2" s="1"/>
  <c r="AE5" i="16" s="1"/>
  <c r="AF72" i="2"/>
  <c r="AF31" i="2" s="1"/>
  <c r="AG59" i="2"/>
  <c r="AE87" i="2" l="1"/>
  <c r="AE88" i="2"/>
  <c r="AF32" i="2"/>
  <c r="AF34" i="2" s="1"/>
  <c r="AF87" i="2"/>
  <c r="AE89" i="2" l="1"/>
  <c r="AE35" i="16" s="1"/>
  <c r="AF88" i="2"/>
  <c r="AF89" i="2" s="1"/>
  <c r="AF35" i="16" s="1"/>
  <c r="AF5" i="16"/>
  <c r="S30" i="2"/>
  <c r="AD49" i="2"/>
  <c r="AD99" i="2" s="1"/>
  <c r="AE52" i="2"/>
  <c r="AE57" i="2"/>
  <c r="AD72" i="2"/>
  <c r="AD31" i="2" s="1"/>
  <c r="AD32" i="2" s="1"/>
  <c r="AD34" i="2" s="1"/>
  <c r="AD5" i="16" s="1"/>
  <c r="AE100" i="2"/>
  <c r="AE101" i="2"/>
  <c r="AD87" i="2" l="1"/>
  <c r="AD88" i="2"/>
  <c r="S86" i="2"/>
  <c r="AE59" i="2"/>
  <c r="AD89" i="2" l="1"/>
  <c r="AD35" i="16" s="1"/>
  <c r="B29" i="2"/>
  <c r="C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B31" i="2"/>
  <c r="S31" i="2"/>
  <c r="T31" i="2"/>
  <c r="U31" i="2"/>
  <c r="V31" i="2"/>
  <c r="W31" i="2"/>
  <c r="X31" i="2"/>
  <c r="Y31" i="2"/>
  <c r="Z31" i="2"/>
  <c r="AA31" i="2"/>
  <c r="AB31" i="2"/>
  <c r="AC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B35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S72" i="2"/>
  <c r="T72" i="2"/>
  <c r="U72" i="2"/>
  <c r="V72" i="2"/>
  <c r="W72" i="2"/>
  <c r="X72" i="2"/>
  <c r="Y72" i="2"/>
  <c r="Z72" i="2"/>
  <c r="AA72" i="2"/>
  <c r="AB72" i="2"/>
  <c r="AC72" i="2"/>
  <c r="C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B87" i="2"/>
  <c r="S87" i="2"/>
  <c r="T87" i="2"/>
  <c r="U87" i="2"/>
  <c r="V87" i="2"/>
  <c r="W87" i="2"/>
  <c r="X87" i="2"/>
  <c r="Y87" i="2"/>
  <c r="Z87" i="2"/>
  <c r="AA87" i="2"/>
  <c r="AB87" i="2"/>
  <c r="AC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B92" i="2"/>
  <c r="B93" i="2"/>
  <c r="B94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C99" i="2"/>
  <c r="BD99" i="2"/>
  <c r="BE99" i="2"/>
  <c r="BF99" i="2"/>
  <c r="BG99" i="2"/>
  <c r="BH99" i="2"/>
  <c r="BI99" i="2"/>
  <c r="BJ99" i="2"/>
  <c r="BK99" i="2"/>
  <c r="AD100" i="2"/>
  <c r="AD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105" i="2"/>
  <c r="B106" i="2"/>
  <c r="B107" i="2"/>
  <c r="B29" i="15"/>
  <c r="C29" i="15"/>
  <c r="B30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O30" i="15"/>
  <c r="P30" i="15"/>
  <c r="Q30" i="15"/>
  <c r="R30" i="15"/>
  <c r="S30" i="15"/>
  <c r="T30" i="15"/>
  <c r="U30" i="15"/>
  <c r="V30" i="15"/>
  <c r="W30" i="15"/>
  <c r="X30" i="15"/>
  <c r="Y30" i="15"/>
  <c r="Z30" i="15"/>
  <c r="AA30" i="15"/>
  <c r="AB30" i="15"/>
  <c r="AC30" i="15"/>
  <c r="B31" i="15"/>
  <c r="AD31" i="15"/>
  <c r="AE31" i="15"/>
  <c r="AF31" i="15"/>
  <c r="AG31" i="15"/>
  <c r="AH31" i="15"/>
  <c r="AI31" i="15"/>
  <c r="AJ31" i="15"/>
  <c r="AK31" i="15"/>
  <c r="AL31" i="15"/>
  <c r="AM31" i="15"/>
  <c r="AN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X32" i="15"/>
  <c r="Y32" i="15"/>
  <c r="Z32" i="15"/>
  <c r="AA32" i="15"/>
  <c r="AB32" i="15"/>
  <c r="AC32" i="15"/>
  <c r="AD32" i="15"/>
  <c r="AE32" i="15"/>
  <c r="AF32" i="15"/>
  <c r="AG32" i="15"/>
  <c r="AH32" i="15"/>
  <c r="AI32" i="15"/>
  <c r="AJ32" i="15"/>
  <c r="AK32" i="15"/>
  <c r="AL32" i="15"/>
  <c r="AM32" i="15"/>
  <c r="AN32" i="15"/>
  <c r="B34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O34" i="15"/>
  <c r="P34" i="15"/>
  <c r="Q34" i="15"/>
  <c r="R34" i="15"/>
  <c r="S34" i="15"/>
  <c r="T34" i="15"/>
  <c r="U34" i="15"/>
  <c r="V34" i="15"/>
  <c r="W34" i="15"/>
  <c r="X34" i="15"/>
  <c r="Y34" i="15"/>
  <c r="Z34" i="15"/>
  <c r="AA34" i="15"/>
  <c r="AB34" i="15"/>
  <c r="AC34" i="15"/>
  <c r="AD34" i="15"/>
  <c r="AE34" i="15"/>
  <c r="AF34" i="15"/>
  <c r="AG34" i="15"/>
  <c r="AH34" i="15"/>
  <c r="AI34" i="15"/>
  <c r="AJ34" i="15"/>
  <c r="AK34" i="15"/>
  <c r="AL34" i="15"/>
  <c r="AM34" i="15"/>
  <c r="AN34" i="15"/>
  <c r="B35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V40" i="15"/>
  <c r="W40" i="15"/>
  <c r="X40" i="15"/>
  <c r="Y40" i="15"/>
  <c r="Z40" i="15"/>
  <c r="AA40" i="15"/>
  <c r="AB40" i="15"/>
  <c r="AC40" i="15"/>
  <c r="AD40" i="15"/>
  <c r="AE40" i="15"/>
  <c r="AF40" i="15"/>
  <c r="AG40" i="15"/>
  <c r="AH40" i="15"/>
  <c r="AI40" i="15"/>
  <c r="AJ40" i="15"/>
  <c r="AK40" i="15"/>
  <c r="AL40" i="15"/>
  <c r="AM40" i="15"/>
  <c r="AN40" i="15"/>
  <c r="AO40" i="15"/>
  <c r="AP40" i="15"/>
  <c r="AQ40" i="15"/>
  <c r="AR40" i="15"/>
  <c r="AS40" i="15"/>
  <c r="AT40" i="15"/>
  <c r="AU40" i="15"/>
  <c r="AV40" i="15"/>
  <c r="AW40" i="15"/>
  <c r="AX40" i="15"/>
  <c r="AY40" i="15"/>
  <c r="AZ40" i="15"/>
  <c r="BA40" i="15"/>
  <c r="BB40" i="15"/>
  <c r="BC40" i="15"/>
  <c r="BD40" i="15"/>
  <c r="BE40" i="15"/>
  <c r="BF40" i="15"/>
  <c r="BG40" i="15"/>
  <c r="BH40" i="15"/>
  <c r="BI40" i="15"/>
  <c r="BJ40" i="15"/>
  <c r="BK40" i="15"/>
  <c r="B41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O41" i="15"/>
  <c r="P41" i="15"/>
  <c r="Q41" i="15"/>
  <c r="R41" i="15"/>
  <c r="S41" i="15"/>
  <c r="T41" i="15"/>
  <c r="U41" i="15"/>
  <c r="V41" i="15"/>
  <c r="W41" i="15"/>
  <c r="X41" i="15"/>
  <c r="Y41" i="15"/>
  <c r="Z41" i="15"/>
  <c r="AA41" i="15"/>
  <c r="AB41" i="15"/>
  <c r="AC41" i="15"/>
  <c r="AD41" i="15"/>
  <c r="AE41" i="15"/>
  <c r="AF41" i="15"/>
  <c r="AG41" i="15"/>
  <c r="AH41" i="15"/>
  <c r="AI41" i="15"/>
  <c r="AJ41" i="15"/>
  <c r="AK41" i="15"/>
  <c r="AL41" i="15"/>
  <c r="AM41" i="15"/>
  <c r="AN41" i="15"/>
  <c r="AO41" i="15"/>
  <c r="AP41" i="15"/>
  <c r="AQ41" i="15"/>
  <c r="AR41" i="15"/>
  <c r="AS41" i="15"/>
  <c r="AT41" i="15"/>
  <c r="AU41" i="15"/>
  <c r="AV41" i="15"/>
  <c r="AW41" i="15"/>
  <c r="AX41" i="15"/>
  <c r="AY41" i="15"/>
  <c r="AZ41" i="15"/>
  <c r="BA41" i="15"/>
  <c r="BB41" i="15"/>
  <c r="BC41" i="15"/>
  <c r="BD41" i="15"/>
  <c r="BE41" i="15"/>
  <c r="BF41" i="15"/>
  <c r="BG41" i="15"/>
  <c r="BH41" i="15"/>
  <c r="BI41" i="15"/>
  <c r="BJ41" i="15"/>
  <c r="BK41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S42" i="15"/>
  <c r="T42" i="15"/>
  <c r="U42" i="15"/>
  <c r="V42" i="15"/>
  <c r="W42" i="15"/>
  <c r="X42" i="15"/>
  <c r="Y42" i="15"/>
  <c r="Z42" i="15"/>
  <c r="AA42" i="15"/>
  <c r="AB42" i="15"/>
  <c r="AC42" i="15"/>
  <c r="AD42" i="15"/>
  <c r="AE42" i="15"/>
  <c r="AF42" i="15"/>
  <c r="AG42" i="15"/>
  <c r="AH42" i="15"/>
  <c r="AI42" i="15"/>
  <c r="AJ42" i="15"/>
  <c r="AK42" i="15"/>
  <c r="AL42" i="15"/>
  <c r="AM42" i="15"/>
  <c r="AN42" i="15"/>
  <c r="AO42" i="15"/>
  <c r="AP42" i="15"/>
  <c r="AQ42" i="15"/>
  <c r="AR42" i="15"/>
  <c r="AS42" i="15"/>
  <c r="AT42" i="15"/>
  <c r="AU42" i="15"/>
  <c r="AV42" i="15"/>
  <c r="AW42" i="15"/>
  <c r="AX42" i="15"/>
  <c r="AY42" i="15"/>
  <c r="AZ42" i="15"/>
  <c r="BA42" i="15"/>
  <c r="BB42" i="15"/>
  <c r="BC42" i="15"/>
  <c r="BD42" i="15"/>
  <c r="BE42" i="15"/>
  <c r="BF42" i="15"/>
  <c r="BG42" i="15"/>
  <c r="BH42" i="15"/>
  <c r="BI42" i="15"/>
  <c r="BJ42" i="15"/>
  <c r="BK42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S45" i="15"/>
  <c r="T45" i="15"/>
  <c r="U45" i="15"/>
  <c r="V45" i="15"/>
  <c r="W45" i="15"/>
  <c r="X45" i="15"/>
  <c r="Y45" i="15"/>
  <c r="Z45" i="15"/>
  <c r="AA45" i="15"/>
  <c r="AB45" i="15"/>
  <c r="AC45" i="15"/>
  <c r="AD45" i="15"/>
  <c r="AE45" i="15"/>
  <c r="AF45" i="15"/>
  <c r="AG45" i="15"/>
  <c r="AH45" i="15"/>
  <c r="AI45" i="15"/>
  <c r="AJ45" i="15"/>
  <c r="AK45" i="15"/>
  <c r="AL45" i="15"/>
  <c r="AM45" i="15"/>
  <c r="AN45" i="15"/>
  <c r="AO45" i="15"/>
  <c r="AP45" i="15"/>
  <c r="AQ45" i="15"/>
  <c r="AR45" i="15"/>
  <c r="AS45" i="15"/>
  <c r="AT45" i="15"/>
  <c r="AU45" i="15"/>
  <c r="AV45" i="15"/>
  <c r="AW45" i="15"/>
  <c r="AX45" i="15"/>
  <c r="AY45" i="15"/>
  <c r="AZ45" i="15"/>
  <c r="BA45" i="15"/>
  <c r="BB45" i="15"/>
  <c r="BC45" i="15"/>
  <c r="BD45" i="15"/>
  <c r="BE45" i="15"/>
  <c r="BF45" i="15"/>
  <c r="BG45" i="15"/>
  <c r="BH45" i="15"/>
  <c r="BI45" i="15"/>
  <c r="BJ45" i="15"/>
  <c r="BK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S46" i="15"/>
  <c r="T46" i="15"/>
  <c r="U46" i="15"/>
  <c r="V46" i="15"/>
  <c r="W46" i="15"/>
  <c r="X46" i="15"/>
  <c r="Y46" i="15"/>
  <c r="Z46" i="15"/>
  <c r="AA46" i="15"/>
  <c r="AB46" i="15"/>
  <c r="AC46" i="15"/>
  <c r="AD46" i="15"/>
  <c r="AE46" i="15"/>
  <c r="AF46" i="15"/>
  <c r="AG46" i="15"/>
  <c r="AH46" i="15"/>
  <c r="AI46" i="15"/>
  <c r="AJ46" i="15"/>
  <c r="AK46" i="15"/>
  <c r="AL46" i="15"/>
  <c r="AM46" i="15"/>
  <c r="AN46" i="15"/>
  <c r="AO46" i="15"/>
  <c r="AP46" i="15"/>
  <c r="AQ46" i="15"/>
  <c r="AR46" i="15"/>
  <c r="AS46" i="15"/>
  <c r="AT46" i="15"/>
  <c r="AU46" i="15"/>
  <c r="AV46" i="15"/>
  <c r="AW46" i="15"/>
  <c r="AX46" i="15"/>
  <c r="AY46" i="15"/>
  <c r="AZ46" i="15"/>
  <c r="BA46" i="15"/>
  <c r="BB46" i="15"/>
  <c r="BC46" i="15"/>
  <c r="BD46" i="15"/>
  <c r="BE46" i="15"/>
  <c r="BF46" i="15"/>
  <c r="BG46" i="15"/>
  <c r="BH46" i="15"/>
  <c r="BI46" i="15"/>
  <c r="BJ46" i="15"/>
  <c r="BK46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W47" i="15"/>
  <c r="X47" i="15"/>
  <c r="Y47" i="15"/>
  <c r="Z47" i="15"/>
  <c r="AA47" i="15"/>
  <c r="AB47" i="15"/>
  <c r="AC47" i="15"/>
  <c r="AD47" i="15"/>
  <c r="AE47" i="15"/>
  <c r="AF47" i="15"/>
  <c r="AG47" i="15"/>
  <c r="AH47" i="15"/>
  <c r="AI47" i="15"/>
  <c r="AJ47" i="15"/>
  <c r="AK47" i="15"/>
  <c r="AL47" i="15"/>
  <c r="AM47" i="15"/>
  <c r="AN47" i="15"/>
  <c r="AO47" i="15"/>
  <c r="AP47" i="15"/>
  <c r="AQ47" i="15"/>
  <c r="AR47" i="15"/>
  <c r="AS47" i="15"/>
  <c r="AT47" i="15"/>
  <c r="AU47" i="15"/>
  <c r="AV47" i="15"/>
  <c r="AW47" i="15"/>
  <c r="AX47" i="15"/>
  <c r="AY47" i="15"/>
  <c r="AZ47" i="15"/>
  <c r="BA47" i="15"/>
  <c r="BB47" i="15"/>
  <c r="BC47" i="15"/>
  <c r="BD47" i="15"/>
  <c r="BE47" i="15"/>
  <c r="BF47" i="15"/>
  <c r="BG47" i="15"/>
  <c r="BH47" i="15"/>
  <c r="BI47" i="15"/>
  <c r="BJ47" i="15"/>
  <c r="BK47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O49" i="15"/>
  <c r="P49" i="15"/>
  <c r="Q49" i="15"/>
  <c r="R49" i="15"/>
  <c r="S49" i="15"/>
  <c r="T49" i="15"/>
  <c r="U49" i="15"/>
  <c r="V49" i="15"/>
  <c r="W49" i="15"/>
  <c r="X49" i="15"/>
  <c r="Y49" i="15"/>
  <c r="Z49" i="15"/>
  <c r="AA49" i="15"/>
  <c r="AB49" i="15"/>
  <c r="AC49" i="15"/>
  <c r="AD49" i="15"/>
  <c r="AE49" i="15"/>
  <c r="AF49" i="15"/>
  <c r="AG49" i="15"/>
  <c r="AH49" i="15"/>
  <c r="AI49" i="15"/>
  <c r="AJ49" i="15"/>
  <c r="AK49" i="15"/>
  <c r="AL49" i="15"/>
  <c r="AM49" i="15"/>
  <c r="AN49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O52" i="15"/>
  <c r="P52" i="15"/>
  <c r="Q52" i="15"/>
  <c r="R52" i="15"/>
  <c r="S52" i="15"/>
  <c r="T52" i="15"/>
  <c r="U52" i="15"/>
  <c r="V52" i="15"/>
  <c r="W52" i="15"/>
  <c r="X52" i="15"/>
  <c r="Y52" i="15"/>
  <c r="Z52" i="15"/>
  <c r="AA52" i="15"/>
  <c r="AB52" i="15"/>
  <c r="AC52" i="15"/>
  <c r="AD52" i="15"/>
  <c r="AE52" i="15"/>
  <c r="AF52" i="15"/>
  <c r="AG52" i="15"/>
  <c r="AH52" i="15"/>
  <c r="AI52" i="15"/>
  <c r="AJ52" i="15"/>
  <c r="AK52" i="15"/>
  <c r="AL52" i="15"/>
  <c r="AM52" i="15"/>
  <c r="AN52" i="15"/>
  <c r="AO52" i="15"/>
  <c r="B53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O53" i="15"/>
  <c r="P53" i="15"/>
  <c r="Q53" i="15"/>
  <c r="R53" i="15"/>
  <c r="S53" i="15"/>
  <c r="T53" i="15"/>
  <c r="U53" i="15"/>
  <c r="V53" i="15"/>
  <c r="W53" i="15"/>
  <c r="X53" i="15"/>
  <c r="Y53" i="15"/>
  <c r="Z53" i="15"/>
  <c r="AA53" i="15"/>
  <c r="AB53" i="15"/>
  <c r="AC53" i="15"/>
  <c r="AD53" i="15"/>
  <c r="AE53" i="15"/>
  <c r="AF53" i="15"/>
  <c r="AG53" i="15"/>
  <c r="AH53" i="15"/>
  <c r="AI53" i="15"/>
  <c r="AJ53" i="15"/>
  <c r="AK53" i="15"/>
  <c r="AL53" i="15"/>
  <c r="AM53" i="15"/>
  <c r="AN53" i="15"/>
  <c r="AO53" i="15"/>
  <c r="AP53" i="15"/>
  <c r="AQ53" i="15"/>
  <c r="AR53" i="15"/>
  <c r="AS53" i="15"/>
  <c r="AT53" i="15"/>
  <c r="AU53" i="15"/>
  <c r="AV53" i="15"/>
  <c r="AW53" i="15"/>
  <c r="AX53" i="15"/>
  <c r="AY53" i="15"/>
  <c r="AZ53" i="15"/>
  <c r="BA53" i="15"/>
  <c r="BB53" i="15"/>
  <c r="BC53" i="15"/>
  <c r="BD53" i="15"/>
  <c r="BE53" i="15"/>
  <c r="BF53" i="15"/>
  <c r="BG53" i="15"/>
  <c r="BH53" i="15"/>
  <c r="BI53" i="15"/>
  <c r="BJ53" i="15"/>
  <c r="BK53" i="15"/>
  <c r="C54" i="15"/>
  <c r="D54" i="15"/>
  <c r="E54" i="15"/>
  <c r="F54" i="15"/>
  <c r="G54" i="15"/>
  <c r="H54" i="15"/>
  <c r="I54" i="15"/>
  <c r="J54" i="15"/>
  <c r="K54" i="15"/>
  <c r="L54" i="15"/>
  <c r="M54" i="15"/>
  <c r="N54" i="15"/>
  <c r="O54" i="15"/>
  <c r="P54" i="15"/>
  <c r="Q54" i="15"/>
  <c r="R54" i="15"/>
  <c r="S54" i="15"/>
  <c r="T54" i="15"/>
  <c r="U54" i="15"/>
  <c r="V54" i="15"/>
  <c r="W54" i="15"/>
  <c r="X54" i="15"/>
  <c r="Y54" i="15"/>
  <c r="Z54" i="15"/>
  <c r="AA54" i="15"/>
  <c r="AB54" i="15"/>
  <c r="AC54" i="15"/>
  <c r="AD54" i="15"/>
  <c r="AE54" i="15"/>
  <c r="AF54" i="15"/>
  <c r="AG54" i="15"/>
  <c r="AH54" i="15"/>
  <c r="AI54" i="15"/>
  <c r="AJ54" i="15"/>
  <c r="AK54" i="15"/>
  <c r="AL54" i="15"/>
  <c r="AM54" i="15"/>
  <c r="AN54" i="15"/>
  <c r="AO54" i="15"/>
  <c r="AP54" i="15"/>
  <c r="AQ54" i="15"/>
  <c r="AR54" i="15"/>
  <c r="AS54" i="15"/>
  <c r="AT54" i="15"/>
  <c r="AU54" i="15"/>
  <c r="AV54" i="15"/>
  <c r="AW54" i="15"/>
  <c r="AX54" i="15"/>
  <c r="AY54" i="15"/>
  <c r="AZ54" i="15"/>
  <c r="BA54" i="15"/>
  <c r="BB54" i="15"/>
  <c r="BC54" i="15"/>
  <c r="BD54" i="15"/>
  <c r="BE54" i="15"/>
  <c r="BF54" i="15"/>
  <c r="BG54" i="15"/>
  <c r="BH54" i="15"/>
  <c r="BI54" i="15"/>
  <c r="BJ54" i="15"/>
  <c r="BK54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P57" i="15"/>
  <c r="Q57" i="15"/>
  <c r="R57" i="15"/>
  <c r="S57" i="15"/>
  <c r="T57" i="15"/>
  <c r="U57" i="15"/>
  <c r="V57" i="15"/>
  <c r="W57" i="15"/>
  <c r="X57" i="15"/>
  <c r="Y57" i="15"/>
  <c r="Z57" i="15"/>
  <c r="AA57" i="15"/>
  <c r="AB57" i="15"/>
  <c r="AC57" i="15"/>
  <c r="AD57" i="15"/>
  <c r="AE57" i="15"/>
  <c r="AF57" i="15"/>
  <c r="AG57" i="15"/>
  <c r="AH57" i="15"/>
  <c r="AI57" i="15"/>
  <c r="AJ57" i="15"/>
  <c r="AK57" i="15"/>
  <c r="AL57" i="15"/>
  <c r="AM57" i="15"/>
  <c r="AN57" i="15"/>
  <c r="AO57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O58" i="15"/>
  <c r="P58" i="15"/>
  <c r="Q58" i="15"/>
  <c r="R58" i="15"/>
  <c r="S58" i="15"/>
  <c r="T58" i="15"/>
  <c r="U58" i="15"/>
  <c r="V58" i="15"/>
  <c r="W58" i="15"/>
  <c r="X58" i="15"/>
  <c r="Y58" i="15"/>
  <c r="Z58" i="15"/>
  <c r="AA58" i="15"/>
  <c r="AB58" i="15"/>
  <c r="AC58" i="15"/>
  <c r="AD58" i="15"/>
  <c r="AE58" i="15"/>
  <c r="AF58" i="15"/>
  <c r="AG58" i="15"/>
  <c r="AH58" i="15"/>
  <c r="AI58" i="15"/>
  <c r="AJ58" i="15"/>
  <c r="AK58" i="15"/>
  <c r="AL58" i="15"/>
  <c r="AM58" i="15"/>
  <c r="AN58" i="15"/>
  <c r="AO58" i="15"/>
  <c r="AP58" i="15"/>
  <c r="AQ58" i="15"/>
  <c r="AR58" i="15"/>
  <c r="AS58" i="15"/>
  <c r="AT58" i="15"/>
  <c r="AU58" i="15"/>
  <c r="AV58" i="15"/>
  <c r="AW58" i="15"/>
  <c r="AX58" i="15"/>
  <c r="AY58" i="15"/>
  <c r="AZ58" i="15"/>
  <c r="BA58" i="15"/>
  <c r="BB58" i="15"/>
  <c r="BC58" i="15"/>
  <c r="BD58" i="15"/>
  <c r="BE58" i="15"/>
  <c r="BF58" i="15"/>
  <c r="BG58" i="15"/>
  <c r="BH58" i="15"/>
  <c r="BI58" i="15"/>
  <c r="BJ58" i="15"/>
  <c r="BK58" i="15"/>
  <c r="D59" i="15"/>
  <c r="E59" i="15"/>
  <c r="F59" i="15"/>
  <c r="G59" i="15"/>
  <c r="H59" i="15"/>
  <c r="I59" i="15"/>
  <c r="J59" i="15"/>
  <c r="K59" i="15"/>
  <c r="L59" i="15"/>
  <c r="M59" i="15"/>
  <c r="N59" i="15"/>
  <c r="O59" i="15"/>
  <c r="P59" i="15"/>
  <c r="Q59" i="15"/>
  <c r="R59" i="15"/>
  <c r="S59" i="15"/>
  <c r="T59" i="15"/>
  <c r="U59" i="15"/>
  <c r="V59" i="15"/>
  <c r="W59" i="15"/>
  <c r="X59" i="15"/>
  <c r="Y59" i="15"/>
  <c r="Z59" i="15"/>
  <c r="AA59" i="15"/>
  <c r="AB59" i="15"/>
  <c r="AC59" i="15"/>
  <c r="AD59" i="15"/>
  <c r="AE59" i="15"/>
  <c r="AF59" i="15"/>
  <c r="AG59" i="15"/>
  <c r="AH59" i="15"/>
  <c r="AI59" i="15"/>
  <c r="AJ59" i="15"/>
  <c r="AK59" i="15"/>
  <c r="AL59" i="15"/>
  <c r="AM59" i="15"/>
  <c r="AN59" i="15"/>
  <c r="AO59" i="15"/>
  <c r="B60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X60" i="15"/>
  <c r="Y60" i="15"/>
  <c r="Z60" i="15"/>
  <c r="AA60" i="15"/>
  <c r="AB60" i="15"/>
  <c r="AC60" i="15"/>
  <c r="AD60" i="15"/>
  <c r="AE60" i="15"/>
  <c r="AF60" i="15"/>
  <c r="AG60" i="15"/>
  <c r="AH60" i="15"/>
  <c r="AI60" i="15"/>
  <c r="AJ60" i="15"/>
  <c r="AK60" i="15"/>
  <c r="AL60" i="15"/>
  <c r="AM60" i="15"/>
  <c r="AN60" i="15"/>
  <c r="AO60" i="15"/>
  <c r="AP60" i="15"/>
  <c r="AQ60" i="15"/>
  <c r="AR60" i="15"/>
  <c r="AS60" i="15"/>
  <c r="AT60" i="15"/>
  <c r="AU60" i="15"/>
  <c r="AV60" i="15"/>
  <c r="AW60" i="15"/>
  <c r="AX60" i="15"/>
  <c r="AY60" i="15"/>
  <c r="AZ60" i="15"/>
  <c r="BA60" i="15"/>
  <c r="BB60" i="15"/>
  <c r="BC60" i="15"/>
  <c r="BD60" i="15"/>
  <c r="BE60" i="15"/>
  <c r="BF60" i="15"/>
  <c r="BG60" i="15"/>
  <c r="BH60" i="15"/>
  <c r="BI60" i="15"/>
  <c r="BJ60" i="15"/>
  <c r="BK60" i="15"/>
  <c r="AD72" i="15"/>
  <c r="AE72" i="15"/>
  <c r="AF72" i="15"/>
  <c r="AG72" i="15"/>
  <c r="AH72" i="15"/>
  <c r="AI72" i="15"/>
  <c r="AJ72" i="15"/>
  <c r="AK72" i="15"/>
  <c r="AL72" i="15"/>
  <c r="AM72" i="15"/>
  <c r="AN72" i="15"/>
  <c r="C85" i="15"/>
  <c r="B86" i="15"/>
  <c r="C86" i="15"/>
  <c r="D86" i="15"/>
  <c r="E86" i="15"/>
  <c r="F86" i="15"/>
  <c r="G86" i="15"/>
  <c r="H86" i="15"/>
  <c r="I86" i="15"/>
  <c r="J86" i="15"/>
  <c r="K86" i="15"/>
  <c r="L86" i="15"/>
  <c r="M86" i="15"/>
  <c r="N86" i="15"/>
  <c r="O86" i="15"/>
  <c r="P86" i="15"/>
  <c r="Q86" i="15"/>
  <c r="R86" i="15"/>
  <c r="S86" i="15"/>
  <c r="T86" i="15"/>
  <c r="U86" i="15"/>
  <c r="V86" i="15"/>
  <c r="W86" i="15"/>
  <c r="X86" i="15"/>
  <c r="Y86" i="15"/>
  <c r="Z86" i="15"/>
  <c r="AA86" i="15"/>
  <c r="AB86" i="15"/>
  <c r="AC86" i="15"/>
  <c r="B87" i="15"/>
  <c r="AD87" i="15"/>
  <c r="AE87" i="15"/>
  <c r="AF87" i="15"/>
  <c r="AG87" i="15"/>
  <c r="AH87" i="15"/>
  <c r="AI87" i="15"/>
  <c r="AJ87" i="15"/>
  <c r="AK87" i="15"/>
  <c r="AL87" i="15"/>
  <c r="AM87" i="15"/>
  <c r="AN87" i="15"/>
  <c r="C88" i="15"/>
  <c r="D88" i="15"/>
  <c r="E88" i="15"/>
  <c r="F88" i="15"/>
  <c r="G88" i="15"/>
  <c r="H88" i="15"/>
  <c r="I88" i="15"/>
  <c r="J88" i="15"/>
  <c r="K88" i="15"/>
  <c r="L88" i="15"/>
  <c r="M88" i="15"/>
  <c r="N88" i="15"/>
  <c r="O88" i="15"/>
  <c r="P88" i="15"/>
  <c r="Q88" i="15"/>
  <c r="R88" i="15"/>
  <c r="S88" i="15"/>
  <c r="T88" i="15"/>
  <c r="U88" i="15"/>
  <c r="V88" i="15"/>
  <c r="W88" i="15"/>
  <c r="X88" i="15"/>
  <c r="Y88" i="15"/>
  <c r="Z88" i="15"/>
  <c r="AA88" i="15"/>
  <c r="AB88" i="15"/>
  <c r="AC88" i="15"/>
  <c r="AD88" i="15"/>
  <c r="AE88" i="15"/>
  <c r="AF88" i="15"/>
  <c r="AG88" i="15"/>
  <c r="AH88" i="15"/>
  <c r="AI88" i="15"/>
  <c r="AJ88" i="15"/>
  <c r="AK88" i="15"/>
  <c r="AL88" i="15"/>
  <c r="AM88" i="15"/>
  <c r="AN88" i="15"/>
  <c r="C89" i="15"/>
  <c r="D89" i="15"/>
  <c r="E89" i="15"/>
  <c r="F89" i="15"/>
  <c r="G89" i="15"/>
  <c r="H89" i="15"/>
  <c r="I89" i="15"/>
  <c r="J89" i="15"/>
  <c r="K89" i="15"/>
  <c r="L89" i="15"/>
  <c r="M89" i="15"/>
  <c r="N89" i="15"/>
  <c r="O89" i="15"/>
  <c r="P89" i="15"/>
  <c r="Q89" i="15"/>
  <c r="R89" i="15"/>
  <c r="S89" i="15"/>
  <c r="T89" i="15"/>
  <c r="U89" i="15"/>
  <c r="V89" i="15"/>
  <c r="W89" i="15"/>
  <c r="X89" i="15"/>
  <c r="Y89" i="15"/>
  <c r="Z89" i="15"/>
  <c r="AA89" i="15"/>
  <c r="AB89" i="15"/>
  <c r="AC89" i="15"/>
  <c r="AD89" i="15"/>
  <c r="AE89" i="15"/>
  <c r="AF89" i="15"/>
  <c r="AG89" i="15"/>
  <c r="AH89" i="15"/>
  <c r="AI89" i="15"/>
  <c r="AJ89" i="15"/>
  <c r="AK89" i="15"/>
  <c r="AL89" i="15"/>
  <c r="AM89" i="15"/>
  <c r="AN89" i="15"/>
  <c r="B92" i="15"/>
  <c r="B93" i="15"/>
  <c r="B94" i="15"/>
  <c r="C96" i="15"/>
  <c r="D96" i="15"/>
  <c r="E96" i="15"/>
  <c r="F96" i="15"/>
  <c r="G96" i="15"/>
  <c r="H96" i="15"/>
  <c r="I96" i="15"/>
  <c r="J96" i="15"/>
  <c r="K96" i="15"/>
  <c r="L96" i="15"/>
  <c r="M96" i="15"/>
  <c r="N96" i="15"/>
  <c r="O96" i="15"/>
  <c r="P96" i="15"/>
  <c r="Q96" i="15"/>
  <c r="R96" i="15"/>
  <c r="S96" i="15"/>
  <c r="T96" i="15"/>
  <c r="U96" i="15"/>
  <c r="V96" i="15"/>
  <c r="W96" i="15"/>
  <c r="X96" i="15"/>
  <c r="Y96" i="15"/>
  <c r="Z96" i="15"/>
  <c r="AA96" i="15"/>
  <c r="AB96" i="15"/>
  <c r="AC96" i="15"/>
  <c r="AD96" i="15"/>
  <c r="AE96" i="15"/>
  <c r="AF96" i="15"/>
  <c r="AG96" i="15"/>
  <c r="AH96" i="15"/>
  <c r="AI96" i="15"/>
  <c r="AJ96" i="15"/>
  <c r="AK96" i="15"/>
  <c r="AL96" i="15"/>
  <c r="AM96" i="15"/>
  <c r="AN96" i="15"/>
  <c r="AO96" i="15"/>
  <c r="AP96" i="15"/>
  <c r="AQ96" i="15"/>
  <c r="AR96" i="15"/>
  <c r="AS96" i="15"/>
  <c r="AT96" i="15"/>
  <c r="AU96" i="15"/>
  <c r="AV96" i="15"/>
  <c r="AW96" i="15"/>
  <c r="AX96" i="15"/>
  <c r="AY96" i="15"/>
  <c r="AZ96" i="15"/>
  <c r="BA96" i="15"/>
  <c r="BB96" i="15"/>
  <c r="BC96" i="15"/>
  <c r="BD96" i="15"/>
  <c r="BE96" i="15"/>
  <c r="BF96" i="15"/>
  <c r="BG96" i="15"/>
  <c r="BH96" i="15"/>
  <c r="BI96" i="15"/>
  <c r="BJ96" i="15"/>
  <c r="BK96" i="15"/>
  <c r="BC99" i="15"/>
  <c r="BD99" i="15"/>
  <c r="BE99" i="15"/>
  <c r="BF99" i="15"/>
  <c r="BG99" i="15"/>
  <c r="BH99" i="15"/>
  <c r="BI99" i="15"/>
  <c r="BJ99" i="15"/>
  <c r="BK99" i="15"/>
  <c r="AO100" i="15"/>
  <c r="AO101" i="15"/>
  <c r="C102" i="15"/>
  <c r="D102" i="15"/>
  <c r="E102" i="15"/>
  <c r="F102" i="15"/>
  <c r="G102" i="15"/>
  <c r="H102" i="15"/>
  <c r="I102" i="15"/>
  <c r="J102" i="15"/>
  <c r="K102" i="15"/>
  <c r="L102" i="15"/>
  <c r="M102" i="15"/>
  <c r="N102" i="15"/>
  <c r="O102" i="15"/>
  <c r="P102" i="15"/>
  <c r="Q102" i="15"/>
  <c r="R102" i="15"/>
  <c r="S102" i="15"/>
  <c r="T102" i="15"/>
  <c r="U102" i="15"/>
  <c r="V102" i="15"/>
  <c r="W102" i="15"/>
  <c r="X102" i="15"/>
  <c r="Y102" i="15"/>
  <c r="Z102" i="15"/>
  <c r="AA102" i="15"/>
  <c r="AB102" i="15"/>
  <c r="AC102" i="15"/>
  <c r="AD102" i="15"/>
  <c r="AE102" i="15"/>
  <c r="AF102" i="15"/>
  <c r="AG102" i="15"/>
  <c r="AH102" i="15"/>
  <c r="AI102" i="15"/>
  <c r="AJ102" i="15"/>
  <c r="AK102" i="15"/>
  <c r="AL102" i="15"/>
  <c r="AM102" i="15"/>
  <c r="AN102" i="15"/>
  <c r="AO102" i="15"/>
  <c r="AP102" i="15"/>
  <c r="AQ102" i="15"/>
  <c r="AR102" i="15"/>
  <c r="AS102" i="15"/>
  <c r="AT102" i="15"/>
  <c r="AU102" i="15"/>
  <c r="AV102" i="15"/>
  <c r="AW102" i="15"/>
  <c r="AX102" i="15"/>
  <c r="AY102" i="15"/>
  <c r="AZ102" i="15"/>
  <c r="BA102" i="15"/>
  <c r="BB102" i="15"/>
  <c r="BC102" i="15"/>
  <c r="BD102" i="15"/>
  <c r="BE102" i="15"/>
  <c r="BF102" i="15"/>
  <c r="BG102" i="15"/>
  <c r="BH102" i="15"/>
  <c r="BI102" i="15"/>
  <c r="BJ102" i="15"/>
  <c r="BK102" i="15"/>
  <c r="B105" i="15"/>
  <c r="B106" i="15"/>
  <c r="B107" i="15"/>
  <c r="C5" i="16"/>
  <c r="D5" i="16"/>
  <c r="E5" i="16"/>
  <c r="F5" i="16"/>
  <c r="G5" i="16"/>
  <c r="H5" i="16"/>
  <c r="I5" i="16"/>
  <c r="J5" i="16"/>
  <c r="K5" i="16"/>
  <c r="L5" i="16"/>
  <c r="M5" i="16"/>
  <c r="N5" i="16"/>
  <c r="O5" i="16"/>
  <c r="P5" i="16"/>
  <c r="Q5" i="16"/>
  <c r="R5" i="16"/>
  <c r="S5" i="16"/>
  <c r="T5" i="16"/>
  <c r="U5" i="16"/>
  <c r="V5" i="16"/>
  <c r="W5" i="16"/>
  <c r="X5" i="16"/>
  <c r="Y5" i="16"/>
  <c r="Z5" i="16"/>
  <c r="AA5" i="16"/>
  <c r="AB5" i="16"/>
  <c r="AC5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X6" i="16"/>
  <c r="Y6" i="16"/>
  <c r="Z6" i="16"/>
  <c r="AA6" i="16"/>
  <c r="AB6" i="16"/>
  <c r="AC6" i="16"/>
  <c r="AD6" i="16"/>
  <c r="AE6" i="16"/>
  <c r="AF6" i="16"/>
  <c r="AG6" i="16"/>
  <c r="AH6" i="16"/>
  <c r="AI6" i="16"/>
  <c r="AJ6" i="16"/>
  <c r="AK6" i="16"/>
  <c r="AL6" i="16"/>
  <c r="AM6" i="16"/>
  <c r="AN6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Q10" i="16"/>
  <c r="R10" i="16"/>
  <c r="S10" i="16"/>
  <c r="T10" i="16"/>
  <c r="U10" i="16"/>
  <c r="V10" i="16"/>
  <c r="W10" i="16"/>
  <c r="X10" i="16"/>
  <c r="Y10" i="16"/>
  <c r="Z10" i="16"/>
  <c r="AA10" i="16"/>
  <c r="AB10" i="16"/>
  <c r="AC10" i="16"/>
  <c r="AD10" i="16"/>
  <c r="AE10" i="16"/>
  <c r="AF10" i="16"/>
  <c r="AG10" i="16"/>
  <c r="AH10" i="16"/>
  <c r="AI10" i="16"/>
  <c r="AJ10" i="16"/>
  <c r="AK10" i="16"/>
  <c r="AL10" i="16"/>
  <c r="AM10" i="16"/>
  <c r="AN10" i="16"/>
  <c r="AO10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O11" i="16"/>
  <c r="P11" i="16"/>
  <c r="Q11" i="16"/>
  <c r="R11" i="16"/>
  <c r="S11" i="16"/>
  <c r="T11" i="16"/>
  <c r="U11" i="16"/>
  <c r="V11" i="16"/>
  <c r="W11" i="16"/>
  <c r="X11" i="16"/>
  <c r="Y11" i="16"/>
  <c r="Z11" i="16"/>
  <c r="AA11" i="16"/>
  <c r="AB11" i="16"/>
  <c r="AC11" i="16"/>
  <c r="AD11" i="16"/>
  <c r="AE11" i="16"/>
  <c r="AF11" i="16"/>
  <c r="AG11" i="16"/>
  <c r="AH11" i="16"/>
  <c r="AI11" i="16"/>
  <c r="AJ11" i="16"/>
  <c r="AK11" i="16"/>
  <c r="AL11" i="16"/>
  <c r="AM11" i="16"/>
  <c r="AN11" i="16"/>
  <c r="AO11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T35" i="16"/>
  <c r="U35" i="16"/>
  <c r="V35" i="16"/>
  <c r="W35" i="16"/>
  <c r="X35" i="16"/>
  <c r="Y35" i="16"/>
  <c r="Z35" i="16"/>
  <c r="AA35" i="16"/>
  <c r="AB35" i="16"/>
  <c r="AC35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T36" i="16"/>
  <c r="U36" i="16"/>
  <c r="V36" i="16"/>
  <c r="W36" i="16"/>
  <c r="X36" i="16"/>
  <c r="Y36" i="16"/>
  <c r="Z36" i="16"/>
  <c r="AA36" i="16"/>
  <c r="AB36" i="16"/>
  <c r="AC36" i="16"/>
  <c r="AD36" i="16"/>
  <c r="AE36" i="16"/>
  <c r="AF36" i="16"/>
  <c r="AG36" i="16"/>
  <c r="AH36" i="16"/>
  <c r="AI36" i="16"/>
  <c r="AJ36" i="16"/>
  <c r="AK36" i="16"/>
  <c r="AL36" i="16"/>
  <c r="AM36" i="16"/>
  <c r="AN36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O40" i="16"/>
  <c r="P40" i="16"/>
  <c r="Q40" i="16"/>
  <c r="R40" i="16"/>
  <c r="S40" i="16"/>
  <c r="T40" i="16"/>
  <c r="U40" i="16"/>
  <c r="V40" i="16"/>
  <c r="W40" i="16"/>
  <c r="X40" i="16"/>
  <c r="Y40" i="16"/>
  <c r="Z40" i="16"/>
  <c r="AA40" i="16"/>
  <c r="AB40" i="16"/>
  <c r="AC40" i="16"/>
  <c r="AD40" i="16"/>
  <c r="AE40" i="16"/>
  <c r="AF40" i="16"/>
  <c r="AG40" i="16"/>
  <c r="AH40" i="16"/>
  <c r="AI40" i="16"/>
  <c r="AJ40" i="16"/>
  <c r="AK40" i="16"/>
  <c r="AL40" i="16"/>
  <c r="AM40" i="16"/>
  <c r="AN40" i="16"/>
  <c r="AO40" i="16"/>
  <c r="AP40" i="16"/>
  <c r="AQ40" i="16"/>
  <c r="AR40" i="16"/>
  <c r="AS40" i="16"/>
  <c r="AT40" i="16"/>
  <c r="AU40" i="16"/>
  <c r="AV40" i="16"/>
  <c r="AW40" i="16"/>
  <c r="AX40" i="16"/>
  <c r="AY40" i="16"/>
  <c r="AZ40" i="16"/>
  <c r="BA40" i="16"/>
  <c r="BB40" i="16"/>
  <c r="BC40" i="16"/>
  <c r="BD40" i="16"/>
  <c r="BE40" i="16"/>
  <c r="BF40" i="16"/>
  <c r="BG40" i="16"/>
  <c r="BH40" i="16"/>
  <c r="BI40" i="16"/>
  <c r="BJ40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Q41" i="16"/>
  <c r="R41" i="16"/>
  <c r="S41" i="16"/>
  <c r="T41" i="16"/>
  <c r="U41" i="16"/>
  <c r="V41" i="16"/>
  <c r="W41" i="16"/>
  <c r="X41" i="16"/>
  <c r="Y41" i="16"/>
  <c r="Z41" i="16"/>
  <c r="AA41" i="16"/>
  <c r="AB41" i="16"/>
  <c r="AC41" i="16"/>
  <c r="AD41" i="16"/>
  <c r="AE41" i="16"/>
  <c r="AF41" i="16"/>
  <c r="AG41" i="16"/>
  <c r="AH41" i="16"/>
  <c r="AI41" i="16"/>
  <c r="AJ41" i="16"/>
  <c r="AK41" i="16"/>
  <c r="AL41" i="16"/>
  <c r="AM41" i="16"/>
  <c r="AN41" i="16"/>
  <c r="AO41" i="16"/>
  <c r="AP41" i="16"/>
  <c r="AQ41" i="16"/>
  <c r="AR41" i="16"/>
  <c r="AS41" i="16"/>
  <c r="AT41" i="16"/>
  <c r="AU41" i="16"/>
  <c r="AV41" i="16"/>
  <c r="AW41" i="16"/>
  <c r="AX41" i="16"/>
  <c r="AY41" i="16"/>
  <c r="AZ41" i="16"/>
  <c r="BA41" i="16"/>
  <c r="BB41" i="16"/>
  <c r="BC41" i="16"/>
  <c r="BD41" i="16"/>
  <c r="BE41" i="16"/>
  <c r="BF41" i="16"/>
  <c r="BG41" i="16"/>
  <c r="BH41" i="16"/>
  <c r="BI41" i="16"/>
  <c r="BJ41" i="16"/>
  <c r="D65" i="16"/>
  <c r="E65" i="16"/>
  <c r="F65" i="16"/>
  <c r="D66" i="16"/>
  <c r="E66" i="16"/>
  <c r="F66" i="16"/>
  <c r="L49" i="1"/>
  <c r="S49" i="1"/>
  <c r="L50" i="1"/>
  <c r="S50" i="1"/>
  <c r="L51" i="1"/>
  <c r="S51" i="1"/>
  <c r="K52" i="1"/>
  <c r="L52" i="1"/>
  <c r="R52" i="1"/>
  <c r="S52" i="1"/>
  <c r="L54" i="1"/>
  <c r="S54" i="1"/>
  <c r="L59" i="1"/>
  <c r="S59" i="1"/>
  <c r="L60" i="1"/>
  <c r="S60" i="1"/>
  <c r="L66" i="1"/>
  <c r="S66" i="1"/>
  <c r="L67" i="1"/>
  <c r="S67" i="1"/>
  <c r="K77" i="1"/>
  <c r="L77" i="1"/>
  <c r="R77" i="1"/>
  <c r="S77" i="1"/>
  <c r="J78" i="1"/>
  <c r="K78" i="1"/>
  <c r="L78" i="1"/>
  <c r="Q78" i="1"/>
  <c r="R78" i="1"/>
  <c r="S78" i="1"/>
  <c r="K80" i="1"/>
  <c r="L80" i="1"/>
  <c r="R80" i="1"/>
  <c r="S80" i="1"/>
  <c r="K81" i="1"/>
  <c r="L81" i="1"/>
  <c r="R81" i="1"/>
  <c r="S81" i="1"/>
  <c r="K82" i="1"/>
  <c r="L82" i="1"/>
  <c r="R82" i="1"/>
  <c r="S82" i="1"/>
  <c r="J83" i="1"/>
  <c r="K83" i="1"/>
  <c r="L83" i="1"/>
  <c r="Q83" i="1"/>
  <c r="R83" i="1"/>
  <c r="S83" i="1"/>
  <c r="J99" i="1"/>
  <c r="Q99" i="1"/>
  <c r="J100" i="1"/>
  <c r="Q100" i="1"/>
  <c r="J101" i="1"/>
  <c r="Q101" i="1"/>
  <c r="J104" i="1"/>
  <c r="Q104" i="1"/>
  <c r="J105" i="1"/>
  <c r="Q105" i="1"/>
  <c r="J106" i="1"/>
  <c r="Q106" i="1"/>
  <c r="J110" i="1"/>
  <c r="K110" i="1"/>
  <c r="Q110" i="1"/>
  <c r="R110" i="1"/>
  <c r="J111" i="1"/>
  <c r="K111" i="1"/>
  <c r="Q111" i="1"/>
  <c r="R111" i="1"/>
  <c r="D31" i="14"/>
  <c r="D35" i="14"/>
  <c r="D36" i="14"/>
  <c r="D37" i="14"/>
  <c r="D38" i="14"/>
  <c r="D39" i="14"/>
  <c r="D43" i="14"/>
  <c r="D44" i="14"/>
  <c r="D48" i="14"/>
  <c r="H49" i="14"/>
  <c r="D52" i="14"/>
  <c r="D53" i="14"/>
  <c r="D54" i="14"/>
  <c r="D55" i="14"/>
  <c r="D56" i="14"/>
  <c r="D60" i="14"/>
  <c r="D61" i="14"/>
  <c r="D65" i="14"/>
  <c r="D66" i="14"/>
  <c r="D67" i="14"/>
</calcChain>
</file>

<file path=xl/sharedStrings.xml><?xml version="1.0" encoding="utf-8"?>
<sst xmlns="http://schemas.openxmlformats.org/spreadsheetml/2006/main" count="681" uniqueCount="315">
  <si>
    <t xml:space="preserve">Summary </t>
  </si>
  <si>
    <t>Gantt</t>
  </si>
  <si>
    <t>Property Information</t>
  </si>
  <si>
    <t>Address</t>
  </si>
  <si>
    <t>Asset Class</t>
  </si>
  <si>
    <t>Multifamily</t>
  </si>
  <si>
    <t>Type of Build</t>
  </si>
  <si>
    <t>5 over 2</t>
  </si>
  <si>
    <t>GSF</t>
  </si>
  <si>
    <t>Modular SF</t>
  </si>
  <si>
    <t>Podium SF</t>
  </si>
  <si>
    <t>Rooms</t>
  </si>
  <si>
    <t>Project Schedule</t>
  </si>
  <si>
    <t>Schedule</t>
  </si>
  <si>
    <t>Start Date</t>
  </si>
  <si>
    <t>Duration</t>
  </si>
  <si>
    <t>Duration in Days</t>
  </si>
  <si>
    <t>Modular - Acquisition and Planning</t>
  </si>
  <si>
    <t>Modular - Construction</t>
  </si>
  <si>
    <t>Modular - Modular Manufacturing</t>
  </si>
  <si>
    <t>Modular - Stabilization and Disposition</t>
  </si>
  <si>
    <t>Development Spend Over Time</t>
  </si>
  <si>
    <t>Traditional - Acquisition and Planning</t>
  </si>
  <si>
    <t>Traditional - Construction</t>
  </si>
  <si>
    <t>Traditional - Stabilization and Disposition</t>
  </si>
  <si>
    <t>Modular Construction</t>
  </si>
  <si>
    <t>Construction Duration</t>
  </si>
  <si>
    <t>Uses</t>
  </si>
  <si>
    <t>Land Cost</t>
  </si>
  <si>
    <t>Hard Costs</t>
  </si>
  <si>
    <t>Soft Costs</t>
  </si>
  <si>
    <t>Financing Costs</t>
  </si>
  <si>
    <t>Sources</t>
  </si>
  <si>
    <t>Senior Loan</t>
  </si>
  <si>
    <t>Mezzanine Loan</t>
  </si>
  <si>
    <t>Equity</t>
  </si>
  <si>
    <t>Economics</t>
  </si>
  <si>
    <t>Disposition Value</t>
  </si>
  <si>
    <t>Yield on Cost</t>
  </si>
  <si>
    <t>Project Levered IRR</t>
  </si>
  <si>
    <t>Traditional Construction</t>
  </si>
  <si>
    <t>Break-Even Analysis</t>
  </si>
  <si>
    <t>Traditional Construction Cost</t>
  </si>
  <si>
    <t>Data Table:</t>
  </si>
  <si>
    <t>On</t>
  </si>
  <si>
    <t>Modular Hard Cost:</t>
  </si>
  <si>
    <t>Modular Construction Cost</t>
  </si>
  <si>
    <t>Traditional Hard Cost:</t>
  </si>
  <si>
    <t>Modular Benefit</t>
  </si>
  <si>
    <t>Levered IRR (Points)</t>
  </si>
  <si>
    <t>Levered IRR (%)</t>
  </si>
  <si>
    <t>Model Inputs</t>
  </si>
  <si>
    <t>Development Summary</t>
  </si>
  <si>
    <t>Modular Construction Assumptions</t>
  </si>
  <si>
    <t>Traditional Construction Assumptions</t>
  </si>
  <si>
    <t>Operating Pro Forma</t>
  </si>
  <si>
    <t>Site Location</t>
  </si>
  <si>
    <t>Take Offs</t>
  </si>
  <si>
    <t>Gross SF</t>
  </si>
  <si>
    <t>Lot Area</t>
  </si>
  <si>
    <t>sf</t>
  </si>
  <si>
    <t>Rental Income</t>
  </si>
  <si>
    <t>Parking Income</t>
  </si>
  <si>
    <t>Podium</t>
  </si>
  <si>
    <t>floors</t>
  </si>
  <si>
    <t>Retail Income</t>
  </si>
  <si>
    <t># of Rooms</t>
  </si>
  <si>
    <t>Modular Floor Plate</t>
  </si>
  <si>
    <t>Utility Income</t>
  </si>
  <si>
    <t>Modular</t>
  </si>
  <si>
    <t>Other Income</t>
  </si>
  <si>
    <t>Market Assumptions</t>
  </si>
  <si>
    <t>Months</t>
  </si>
  <si>
    <t>Total Income</t>
  </si>
  <si>
    <t>Exit</t>
  </si>
  <si>
    <t>Total Gross Project Area</t>
  </si>
  <si>
    <t>Months to Stabilization</t>
  </si>
  <si>
    <t>Podium Area</t>
  </si>
  <si>
    <t>Fixed Expenses</t>
  </si>
  <si>
    <t>Exit Cap Rate</t>
  </si>
  <si>
    <t>Modular Area</t>
  </si>
  <si>
    <t>Controllable Expenses</t>
  </si>
  <si>
    <t>Disposition Fees</t>
  </si>
  <si>
    <t>Reserves</t>
  </si>
  <si>
    <t>Growth</t>
  </si>
  <si>
    <t>psf</t>
  </si>
  <si>
    <t>Total</t>
  </si>
  <si>
    <t>Total Expenses</t>
  </si>
  <si>
    <t>Annual Rate Growth</t>
  </si>
  <si>
    <t>Module Manufacturing (pmsf)</t>
  </si>
  <si>
    <t>Annual Other Income Growth</t>
  </si>
  <si>
    <t>Module Transport (pmsf)</t>
  </si>
  <si>
    <t>Net Operating Income</t>
  </si>
  <si>
    <t>Annual Operating Expense Growth</t>
  </si>
  <si>
    <t>Module Install (pmsf)</t>
  </si>
  <si>
    <t>Expense Ratio</t>
  </si>
  <si>
    <t>Module Finish Work On Site (pmsf)</t>
  </si>
  <si>
    <t>Revnenue</t>
  </si>
  <si>
    <t>#</t>
  </si>
  <si>
    <t>SF</t>
  </si>
  <si>
    <t>Rent</t>
  </si>
  <si>
    <t>Rent/SF</t>
  </si>
  <si>
    <t>Annual</t>
  </si>
  <si>
    <t>FF&amp;E</t>
  </si>
  <si>
    <t>Studio</t>
  </si>
  <si>
    <t>Subtotal, Hard Costs</t>
  </si>
  <si>
    <t>J1BR</t>
  </si>
  <si>
    <t xml:space="preserve">GC Contingency (on sitework only) </t>
  </si>
  <si>
    <t>1BR</t>
  </si>
  <si>
    <t xml:space="preserve">Escalation Contingency </t>
  </si>
  <si>
    <t>2BR</t>
  </si>
  <si>
    <t>General Liability Insurance</t>
  </si>
  <si>
    <t>GC Fee (on sitework only)</t>
  </si>
  <si>
    <t>Gross Income from Rooms</t>
  </si>
  <si>
    <t>Total Hard Costs</t>
  </si>
  <si>
    <t>Amount</t>
  </si>
  <si>
    <t>Parking</t>
  </si>
  <si>
    <t>Per Space Per Month</t>
  </si>
  <si>
    <t>Draw Breakdown</t>
  </si>
  <si>
    <t>Per SF Per Year</t>
  </si>
  <si>
    <t>Modular Draw</t>
  </si>
  <si>
    <t>Utility Reimbursement</t>
  </si>
  <si>
    <t>Per Unit Per Month</t>
  </si>
  <si>
    <t>Construction Draw</t>
  </si>
  <si>
    <t>Gross Annual Income</t>
  </si>
  <si>
    <t>Operating Expenses (Annual)</t>
  </si>
  <si>
    <t>Architect &amp; Engineering</t>
  </si>
  <si>
    <t>Entitlement and Permit Fees</t>
  </si>
  <si>
    <t>Real Estate Taxes</t>
  </si>
  <si>
    <t>Mill Rate</t>
  </si>
  <si>
    <t>Reserves (Property Tax)</t>
  </si>
  <si>
    <t>Insurance</t>
  </si>
  <si>
    <t>Per Unit</t>
  </si>
  <si>
    <t>Closing Costs</t>
  </si>
  <si>
    <t>of land costs</t>
  </si>
  <si>
    <t>Legal and 3rd Party</t>
  </si>
  <si>
    <t>Utilities (Gross)</t>
  </si>
  <si>
    <t>Per Unit Per Year</t>
  </si>
  <si>
    <t>Marketing</t>
  </si>
  <si>
    <t>Contract Services</t>
  </si>
  <si>
    <t>% of Dept Revenue</t>
  </si>
  <si>
    <t>Developer Fee (% of Hard Costs)</t>
  </si>
  <si>
    <t>of hard costs</t>
  </si>
  <si>
    <t>Management Fee</t>
  </si>
  <si>
    <t>% of Gross Income</t>
  </si>
  <si>
    <t>Developer Contingency</t>
  </si>
  <si>
    <t>Payroll</t>
  </si>
  <si>
    <t>Total Soft Costs</t>
  </si>
  <si>
    <t>Repairs and Maintenance</t>
  </si>
  <si>
    <t>Marketing and Advertising</t>
  </si>
  <si>
    <t>Admin / Miscellaneous</t>
  </si>
  <si>
    <t>Interest Reserves</t>
  </si>
  <si>
    <t>Capital Reserves</t>
  </si>
  <si>
    <t>Loan Fees</t>
  </si>
  <si>
    <t>Negative Operating Expenses</t>
  </si>
  <si>
    <t>Total Financing Costs</t>
  </si>
  <si>
    <t>Total Interest Paid</t>
  </si>
  <si>
    <t>Extra Rent Collected</t>
  </si>
  <si>
    <t>Senior Loan Assumptions</t>
  </si>
  <si>
    <t>Loan Sizing</t>
  </si>
  <si>
    <t>Loan Fee</t>
  </si>
  <si>
    <t>Interest Rate</t>
  </si>
  <si>
    <t>Type</t>
  </si>
  <si>
    <t>Interest Only</t>
  </si>
  <si>
    <t>Term</t>
  </si>
  <si>
    <t>Mezzanine Loan Assumptions</t>
  </si>
  <si>
    <t>PIK Interest</t>
  </si>
  <si>
    <t>Sources and Uses</t>
  </si>
  <si>
    <t>$ / sf</t>
  </si>
  <si>
    <t>Acquisition Cost</t>
  </si>
  <si>
    <t>Total Uses</t>
  </si>
  <si>
    <t>Construction Loan</t>
  </si>
  <si>
    <t>Total Sources</t>
  </si>
  <si>
    <t>Date</t>
  </si>
  <si>
    <t>Month Count</t>
  </si>
  <si>
    <t>Acquisition</t>
  </si>
  <si>
    <t>Planning &amp; Permitting Complete</t>
  </si>
  <si>
    <t>Construction Start</t>
  </si>
  <si>
    <t>Construction Loan Origination</t>
  </si>
  <si>
    <t>Modular Start</t>
  </si>
  <si>
    <t>Modular Complete</t>
  </si>
  <si>
    <t>Construction Complete</t>
  </si>
  <si>
    <t>Stabilization Start</t>
  </si>
  <si>
    <t>Stabilization Complete</t>
  </si>
  <si>
    <t>Unlevered Returns</t>
  </si>
  <si>
    <t>Unlevered IRR</t>
  </si>
  <si>
    <t>Multiple</t>
  </si>
  <si>
    <t>Net Profit</t>
  </si>
  <si>
    <t>Levered Returns</t>
  </si>
  <si>
    <t>Levered IRR</t>
  </si>
  <si>
    <t>YIELD ON COST</t>
  </si>
  <si>
    <t>Stabilization</t>
  </si>
  <si>
    <t>Disposition</t>
  </si>
  <si>
    <t xml:space="preserve">Stabilized NOI </t>
  </si>
  <si>
    <t>Total Project Costs</t>
  </si>
  <si>
    <t>Monthly Cash Flow - Modular</t>
  </si>
  <si>
    <t>Starting Date</t>
  </si>
  <si>
    <t>Year</t>
  </si>
  <si>
    <t>Year Counter</t>
  </si>
  <si>
    <t xml:space="preserve">Development Costs </t>
  </si>
  <si>
    <t>Land</t>
  </si>
  <si>
    <t>Land Acquisition</t>
  </si>
  <si>
    <t>Total Land Expenses</t>
  </si>
  <si>
    <t xml:space="preserve">Hard Costs </t>
  </si>
  <si>
    <t>Modular Draw %</t>
  </si>
  <si>
    <t>Modular Draw $</t>
  </si>
  <si>
    <t>Construction Draw %</t>
  </si>
  <si>
    <t>Construction Draw $</t>
  </si>
  <si>
    <t>Hard Cost Total</t>
  </si>
  <si>
    <t xml:space="preserve">Soft Costs </t>
  </si>
  <si>
    <t>Soft Cost %</t>
  </si>
  <si>
    <t>Soft Cost Total</t>
  </si>
  <si>
    <t>Interest Reserve</t>
  </si>
  <si>
    <t>Financing Cost Total</t>
  </si>
  <si>
    <t>Total Development Costs</t>
  </si>
  <si>
    <t>check</t>
  </si>
  <si>
    <t>Draw Schedule</t>
  </si>
  <si>
    <t>Total Equity Beginning Balance</t>
  </si>
  <si>
    <t>Total Equity Equity Required</t>
  </si>
  <si>
    <t>Total Equity Ending Balance</t>
  </si>
  <si>
    <t>Senior Debt</t>
  </si>
  <si>
    <t>Beginning Balance</t>
  </si>
  <si>
    <t>Senior Debt Funded</t>
  </si>
  <si>
    <t>Ending Balance</t>
  </si>
  <si>
    <t xml:space="preserve">Disposition Date </t>
  </si>
  <si>
    <t>IF(C4&gt;=$B$45,0,SUM($C43:C$43)*$B46/12)</t>
  </si>
  <si>
    <t xml:space="preserve">Interest Expense </t>
  </si>
  <si>
    <t>Mezz Loan</t>
  </si>
  <si>
    <t>Mezz Debt Funded</t>
  </si>
  <si>
    <t>Ending Available Mezz Balance</t>
  </si>
  <si>
    <t>Mezz Interest</t>
  </si>
  <si>
    <t xml:space="preserve">Beginning Debt Balance </t>
  </si>
  <si>
    <t xml:space="preserve">Mezz Debt Funded </t>
  </si>
  <si>
    <t>Ending Balance, Total</t>
  </si>
  <si>
    <t>NOI</t>
  </si>
  <si>
    <t>Stabilization (%)</t>
  </si>
  <si>
    <t>Cumulative Stabilization</t>
  </si>
  <si>
    <t>Disposition Date</t>
  </si>
  <si>
    <t>Monthly Gross Income</t>
  </si>
  <si>
    <t>Monthly Expenses</t>
  </si>
  <si>
    <t>NOI + Interest</t>
  </si>
  <si>
    <t>Cap Rate</t>
  </si>
  <si>
    <t>12m fwd NOI</t>
  </si>
  <si>
    <t>Disposition (12m fwd NOI)</t>
  </si>
  <si>
    <t>Cost of Sale</t>
  </si>
  <si>
    <t>Net Sales Proceeds</t>
  </si>
  <si>
    <t>Cash Flows</t>
  </si>
  <si>
    <t>Soft Cost Adjustments</t>
  </si>
  <si>
    <t>Add Back: Loan Fee</t>
  </si>
  <si>
    <t>Add Back: Interest Reserves</t>
  </si>
  <si>
    <t>Add Back: Negative Operating Expenses</t>
  </si>
  <si>
    <t>Cash Flow Subtotal</t>
  </si>
  <si>
    <t>Unlevered Cash Flow</t>
  </si>
  <si>
    <t>Equity Invested</t>
  </si>
  <si>
    <t>Non-capitalized Interest Payments</t>
  </si>
  <si>
    <t>Mezz Debt Repayment</t>
  </si>
  <si>
    <t>Senior Debt Repayment</t>
  </si>
  <si>
    <t>Levered Cash Flow</t>
  </si>
  <si>
    <t>Monthly Cash Flow - Traditional</t>
  </si>
  <si>
    <t>Modular Data</t>
  </si>
  <si>
    <t>Project</t>
  </si>
  <si>
    <t>VBC Actual</t>
  </si>
  <si>
    <t>Location</t>
  </si>
  <si>
    <t>Berlin</t>
  </si>
  <si>
    <t>Contract Price</t>
  </si>
  <si>
    <t>PLD</t>
  </si>
  <si>
    <t>USD</t>
  </si>
  <si>
    <t>SQM</t>
  </si>
  <si>
    <t>Total Cost PSF</t>
  </si>
  <si>
    <t>$PSF</t>
  </si>
  <si>
    <t>Design</t>
  </si>
  <si>
    <t>Project Management</t>
  </si>
  <si>
    <t>Steel Cage</t>
  </si>
  <si>
    <t>Modules</t>
  </si>
  <si>
    <t>Furniture</t>
  </si>
  <si>
    <t>Transport</t>
  </si>
  <si>
    <t>Insurance and Duty</t>
  </si>
  <si>
    <t>Installation</t>
  </si>
  <si>
    <t>Reserve</t>
  </si>
  <si>
    <t>SG&amp;A</t>
  </si>
  <si>
    <t>Manufacturing</t>
  </si>
  <si>
    <t>Install</t>
  </si>
  <si>
    <t>Sitework Data</t>
  </si>
  <si>
    <t>Market Data</t>
  </si>
  <si>
    <t>Cost</t>
  </si>
  <si>
    <t>EUR</t>
  </si>
  <si>
    <t>Area</t>
  </si>
  <si>
    <t>Month</t>
  </si>
  <si>
    <t>Traditional</t>
  </si>
  <si>
    <t>Cumulative Spend</t>
  </si>
  <si>
    <t>Cash Flows Over Time</t>
  </si>
  <si>
    <t>Cumulative Cash Flow</t>
  </si>
  <si>
    <t>VBC</t>
  </si>
  <si>
    <t>faster</t>
  </si>
  <si>
    <t>higher return</t>
  </si>
  <si>
    <t>Interest Paid</t>
  </si>
  <si>
    <t>less interest paid</t>
  </si>
  <si>
    <t>Summary</t>
  </si>
  <si>
    <t>Studios</t>
  </si>
  <si>
    <t>1 Bedrooms</t>
  </si>
  <si>
    <t>2 Bedrooms</t>
  </si>
  <si>
    <t>3 Bedrooms</t>
  </si>
  <si>
    <t>Blended</t>
  </si>
  <si>
    <t>Adjustments</t>
  </si>
  <si>
    <t>Comments</t>
  </si>
  <si>
    <t>Property</t>
  </si>
  <si>
    <t># Units</t>
  </si>
  <si>
    <t>Built</t>
  </si>
  <si>
    <t>Units</t>
  </si>
  <si>
    <t>Rent $ / Mo.</t>
  </si>
  <si>
    <t>$ / SF</t>
  </si>
  <si>
    <t>Adj.</t>
  </si>
  <si>
    <t>3BR</t>
  </si>
  <si>
    <t>Average</t>
  </si>
  <si>
    <t>Sample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</si>
</sst>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0.0%"/>
    <numFmt numFmtId="167" formatCode="_(* #,##0_);_(* \(#,##0\);_(* &quot;-&quot;??_);_(@_)"/>
    <numFmt numFmtId="168" formatCode="#.0&quot;x&quot;"/>
    <numFmt numFmtId="169" formatCode="&quot;Year&quot;\ #"/>
    <numFmt numFmtId="170" formatCode="0.0"/>
    <numFmt numFmtId="171" formatCode="&quot;$&quot;#,##0.0000"/>
    <numFmt numFmtId="172" formatCode="_(&quot;$&quot;#,##0_);\(&quot;$&quot;#,##0\);_(&quot;–&quot;_);_(@_)"/>
    <numFmt numFmtId="173" formatCode="_(#,##0_);\(#,##0\);_(&quot;–&quot;_);_(@_)"/>
    <numFmt numFmtId="174" formatCode="#&quot; months&quot;"/>
    <numFmt numFmtId="175" formatCode="&quot;$&quot;#,##0.0_);[Red]\(&quot;$&quot;#,##0.0\)"/>
    <numFmt numFmtId="176" formatCode="_(* #,##0.0_);_(* \(#,##0.0\);_(* &quot;-&quot;??_);_(@_)"/>
    <numFmt numFmtId="177" formatCode="&quot;$&quot;#,##0.0"/>
    <numFmt numFmtId="178" formatCode="_(&quot;$&quot;* #,##0_);_(&quot;$&quot;* \(#,##0\);_(&quot;$&quot;* &quot;-&quot;??_);_(@_)"/>
    <numFmt numFmtId="179" formatCode="&quot;$&quot;#&quot; PSF&quot;"/>
    <numFmt numFmtId="180" formatCode="0%\ &quot; faster&quot;"/>
    <numFmt numFmtId="181" formatCode="0%\ &quot; less interest paid&quot;"/>
    <numFmt numFmtId="182" formatCode="0.0%\ &quot; points higher&quot;"/>
    <numFmt numFmtId="183" formatCode="0.0%\ &quot; higher ROI&quot;"/>
    <numFmt numFmtId="184" formatCode="0%\ &quot; Deposit&quot;"/>
    <numFmt numFmtId="185" formatCode="0%\ &quot; of Total&quot;"/>
    <numFmt numFmtId="186" formatCode="#&quot; SF&quot;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8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theme="8" tint="-0.499984740745262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2"/>
      <color theme="1" tint="0.24994659260841701"/>
      <name val="Calibri Light"/>
      <family val="2"/>
      <scheme val="major"/>
    </font>
    <font>
      <sz val="11"/>
      <color theme="1" tint="0.24994659260841701"/>
      <name val="Calibri Light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3"/>
      <color theme="1" tint="0.24994659260841701"/>
      <name val="Calibri Light"/>
      <family val="2"/>
      <scheme val="major"/>
    </font>
    <font>
      <b/>
      <sz val="13"/>
      <color theme="7"/>
      <name val="Calibri Light"/>
      <family val="2"/>
      <scheme val="major"/>
    </font>
    <font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B05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242424"/>
      <name val="Inherit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B254A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213047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7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37" fontId="19" fillId="0" borderId="0"/>
    <xf numFmtId="9" fontId="20" fillId="0" borderId="0" applyFont="0" applyFill="0" applyBorder="0" applyAlignment="0" applyProtection="0"/>
    <xf numFmtId="0" fontId="4" fillId="0" borderId="0"/>
    <xf numFmtId="14" fontId="21" fillId="0" borderId="0" applyFill="0" applyBorder="0">
      <alignment horizontal="center" vertical="center"/>
    </xf>
    <xf numFmtId="0" fontId="22" fillId="7" borderId="25" applyNumberFormat="0" applyProtection="0">
      <alignment horizontal="left" vertical="center"/>
    </xf>
    <xf numFmtId="1" fontId="23" fillId="7" borderId="25">
      <alignment horizontal="center" vertical="center"/>
    </xf>
    <xf numFmtId="0" fontId="24" fillId="8" borderId="26" applyNumberFormat="0" applyFont="0" applyAlignment="0">
      <alignment horizontal="center"/>
    </xf>
    <xf numFmtId="0" fontId="25" fillId="0" borderId="0" applyNumberFormat="0" applyFill="0" applyBorder="0" applyProtection="0">
      <alignment horizontal="left" vertical="center"/>
    </xf>
    <xf numFmtId="0" fontId="24" fillId="9" borderId="27" applyNumberFormat="0" applyFont="0" applyAlignment="0">
      <alignment horizontal="center"/>
    </xf>
    <xf numFmtId="0" fontId="24" fillId="10" borderId="27" applyNumberFormat="0" applyFont="0" applyAlignment="0">
      <alignment horizontal="center"/>
    </xf>
    <xf numFmtId="0" fontId="24" fillId="11" borderId="27" applyNumberFormat="0" applyFont="0" applyAlignment="0">
      <alignment horizontal="center"/>
    </xf>
    <xf numFmtId="0" fontId="24" fillId="12" borderId="27" applyNumberFormat="0" applyFont="0" applyAlignment="0">
      <alignment horizontal="center"/>
    </xf>
    <xf numFmtId="0" fontId="26" fillId="0" borderId="0" applyFill="0" applyBorder="0" applyProtection="0">
      <alignment horizontal="center" wrapText="1"/>
    </xf>
    <xf numFmtId="3" fontId="26" fillId="0" borderId="28" applyFill="0" applyProtection="0">
      <alignment horizontal="center"/>
    </xf>
    <xf numFmtId="0" fontId="27" fillId="0" borderId="0" applyFill="0" applyBorder="0" applyProtection="0">
      <alignment horizontal="left" wrapText="1"/>
    </xf>
    <xf numFmtId="9" fontId="28" fillId="0" borderId="0" applyFill="0" applyBorder="0" applyProtection="0">
      <alignment horizontal="center" vertical="center"/>
    </xf>
  </cellStyleXfs>
  <cellXfs count="483">
    <xf numFmtId="0" fontId="0" fillId="0" borderId="0" xfId="0"/>
    <xf numFmtId="0" fontId="0" fillId="0" borderId="3" xfId="0" applyBorder="1"/>
    <xf numFmtId="0" fontId="0" fillId="0" borderId="10" xfId="0" applyBorder="1"/>
    <xf numFmtId="0" fontId="0" fillId="0" borderId="2" xfId="0" applyBorder="1"/>
    <xf numFmtId="14" fontId="0" fillId="0" borderId="0" xfId="0" applyNumberFormat="1"/>
    <xf numFmtId="0" fontId="3" fillId="0" borderId="0" xfId="0" applyFont="1"/>
    <xf numFmtId="9" fontId="0" fillId="0" borderId="0" xfId="0" applyNumberFormat="1"/>
    <xf numFmtId="167" fontId="0" fillId="0" borderId="0" xfId="1" applyNumberFormat="1" applyFont="1"/>
    <xf numFmtId="0" fontId="3" fillId="0" borderId="7" xfId="0" applyFont="1" applyBorder="1"/>
    <xf numFmtId="167" fontId="0" fillId="0" borderId="0" xfId="1" applyNumberFormat="1" applyFont="1" applyBorder="1"/>
    <xf numFmtId="0" fontId="10" fillId="0" borderId="0" xfId="0" applyFont="1"/>
    <xf numFmtId="0" fontId="0" fillId="0" borderId="0" xfId="0" applyAlignment="1">
      <alignment horizontal="left" indent="1"/>
    </xf>
    <xf numFmtId="0" fontId="9" fillId="0" borderId="0" xfId="0" applyFont="1"/>
    <xf numFmtId="0" fontId="3" fillId="0" borderId="7" xfId="0" applyFont="1" applyBorder="1" applyAlignment="1">
      <alignment horizontal="left" indent="1"/>
    </xf>
    <xf numFmtId="0" fontId="3" fillId="0" borderId="14" xfId="0" applyFont="1" applyBorder="1"/>
    <xf numFmtId="167" fontId="8" fillId="0" borderId="0" xfId="1" applyNumberFormat="1" applyFont="1" applyFill="1"/>
    <xf numFmtId="167" fontId="7" fillId="0" borderId="0" xfId="1" applyNumberFormat="1" applyFont="1"/>
    <xf numFmtId="167" fontId="0" fillId="0" borderId="0" xfId="1" applyNumberFormat="1" applyFont="1" applyFill="1"/>
    <xf numFmtId="167" fontId="3" fillId="0" borderId="7" xfId="1" applyNumberFormat="1" applyFont="1" applyFill="1" applyBorder="1"/>
    <xf numFmtId="167" fontId="3" fillId="0" borderId="0" xfId="1" applyNumberFormat="1" applyFont="1" applyFill="1" applyBorder="1"/>
    <xf numFmtId="9" fontId="7" fillId="0" borderId="0" xfId="0" applyNumberFormat="1" applyFont="1"/>
    <xf numFmtId="167" fontId="0" fillId="0" borderId="0" xfId="1" applyNumberFormat="1" applyFont="1" applyFill="1" applyBorder="1"/>
    <xf numFmtId="9" fontId="0" fillId="0" borderId="0" xfId="1" applyNumberFormat="1" applyFont="1" applyFill="1" applyBorder="1"/>
    <xf numFmtId="167" fontId="3" fillId="0" borderId="7" xfId="0" applyNumberFormat="1" applyFont="1" applyBorder="1"/>
    <xf numFmtId="167" fontId="9" fillId="0" borderId="0" xfId="1" applyNumberFormat="1" applyFont="1"/>
    <xf numFmtId="167" fontId="7" fillId="0" borderId="0" xfId="0" applyNumberFormat="1" applyFont="1"/>
    <xf numFmtId="167" fontId="0" fillId="0" borderId="7" xfId="1" applyNumberFormat="1" applyFont="1" applyFill="1" applyBorder="1"/>
    <xf numFmtId="167" fontId="3" fillId="0" borderId="14" xfId="0" applyNumberFormat="1" applyFont="1" applyBorder="1"/>
    <xf numFmtId="167" fontId="3" fillId="0" borderId="14" xfId="1" applyNumberFormat="1" applyFont="1" applyFill="1" applyBorder="1"/>
    <xf numFmtId="167" fontId="7" fillId="0" borderId="0" xfId="1" applyNumberFormat="1" applyFont="1" applyFill="1"/>
    <xf numFmtId="167" fontId="0" fillId="0" borderId="0" xfId="0" applyNumberFormat="1"/>
    <xf numFmtId="0" fontId="7" fillId="0" borderId="0" xfId="0" applyFont="1"/>
    <xf numFmtId="0" fontId="0" fillId="0" borderId="14" xfId="0" applyBorder="1"/>
    <xf numFmtId="3" fontId="7" fillId="0" borderId="14" xfId="0" applyNumberFormat="1" applyFont="1" applyBorder="1"/>
    <xf numFmtId="167" fontId="0" fillId="0" borderId="14" xfId="1" applyNumberFormat="1" applyFont="1" applyFill="1" applyBorder="1"/>
    <xf numFmtId="3" fontId="7" fillId="0" borderId="0" xfId="0" applyNumberFormat="1" applyFont="1"/>
    <xf numFmtId="10" fontId="7" fillId="0" borderId="0" xfId="1" applyNumberFormat="1" applyFont="1"/>
    <xf numFmtId="0" fontId="3" fillId="4" borderId="5" xfId="0" applyFont="1" applyFill="1" applyBorder="1"/>
    <xf numFmtId="167" fontId="3" fillId="4" borderId="5" xfId="1" applyNumberFormat="1" applyFont="1" applyFill="1" applyBorder="1"/>
    <xf numFmtId="0" fontId="0" fillId="3" borderId="1" xfId="0" applyFill="1" applyBorder="1"/>
    <xf numFmtId="166" fontId="0" fillId="3" borderId="8" xfId="2" applyNumberFormat="1" applyFont="1" applyFill="1" applyBorder="1"/>
    <xf numFmtId="0" fontId="0" fillId="3" borderId="3" xfId="0" applyFill="1" applyBorder="1"/>
    <xf numFmtId="168" fontId="0" fillId="3" borderId="2" xfId="0" applyNumberFormat="1" applyFill="1" applyBorder="1"/>
    <xf numFmtId="0" fontId="0" fillId="3" borderId="9" xfId="0" applyFill="1" applyBorder="1"/>
    <xf numFmtId="10" fontId="0" fillId="0" borderId="0" xfId="2" applyNumberFormat="1" applyFont="1" applyFill="1"/>
    <xf numFmtId="167" fontId="0" fillId="3" borderId="11" xfId="1" applyNumberFormat="1" applyFont="1" applyFill="1" applyBorder="1" applyAlignment="1">
      <alignment horizontal="right"/>
    </xf>
    <xf numFmtId="167" fontId="8" fillId="0" borderId="10" xfId="1" applyNumberFormat="1" applyFont="1" applyFill="1" applyBorder="1"/>
    <xf numFmtId="43" fontId="3" fillId="0" borderId="0" xfId="1" applyFont="1" applyFill="1" applyBorder="1"/>
    <xf numFmtId="9" fontId="3" fillId="0" borderId="0" xfId="0" applyNumberFormat="1" applyFont="1"/>
    <xf numFmtId="167" fontId="3" fillId="0" borderId="0" xfId="0" applyNumberFormat="1" applyFont="1"/>
    <xf numFmtId="0" fontId="11" fillId="0" borderId="0" xfId="0" applyFont="1"/>
    <xf numFmtId="167" fontId="0" fillId="0" borderId="0" xfId="2" applyNumberFormat="1" applyFont="1" applyFill="1"/>
    <xf numFmtId="0" fontId="3" fillId="4" borderId="4" xfId="0" applyFont="1" applyFill="1" applyBorder="1"/>
    <xf numFmtId="167" fontId="0" fillId="3" borderId="11" xfId="0" applyNumberFormat="1" applyFill="1" applyBorder="1" applyAlignment="1">
      <alignment horizontal="right"/>
    </xf>
    <xf numFmtId="0" fontId="15" fillId="3" borderId="4" xfId="0" applyFont="1" applyFill="1" applyBorder="1" applyAlignment="1">
      <alignment horizontal="center" wrapText="1" readingOrder="1"/>
    </xf>
    <xf numFmtId="0" fontId="15" fillId="3" borderId="5" xfId="0" applyFont="1" applyFill="1" applyBorder="1" applyAlignment="1">
      <alignment horizontal="left" wrapText="1" readingOrder="1"/>
    </xf>
    <xf numFmtId="0" fontId="16" fillId="3" borderId="5" xfId="0" applyFont="1" applyFill="1" applyBorder="1" applyAlignment="1">
      <alignment horizontal="center" wrapText="1" readingOrder="1"/>
    </xf>
    <xf numFmtId="2" fontId="16" fillId="3" borderId="5" xfId="0" applyNumberFormat="1" applyFont="1" applyFill="1" applyBorder="1" applyAlignment="1">
      <alignment horizontal="right" wrapText="1" readingOrder="1"/>
    </xf>
    <xf numFmtId="9" fontId="1" fillId="0" borderId="0" xfId="2" applyFont="1"/>
    <xf numFmtId="167" fontId="1" fillId="0" borderId="0" xfId="1" applyNumberFormat="1" applyFont="1" applyFill="1" applyBorder="1"/>
    <xf numFmtId="0" fontId="17" fillId="0" borderId="0" xfId="3"/>
    <xf numFmtId="0" fontId="15" fillId="0" borderId="0" xfId="0" applyFont="1" applyAlignment="1">
      <alignment horizontal="left" wrapText="1" readingOrder="1"/>
    </xf>
    <xf numFmtId="0" fontId="16" fillId="0" borderId="0" xfId="0" applyFont="1" applyAlignment="1">
      <alignment horizontal="center" wrapText="1" readingOrder="1"/>
    </xf>
    <xf numFmtId="165" fontId="16" fillId="0" borderId="0" xfId="0" applyNumberFormat="1" applyFont="1" applyAlignment="1">
      <alignment horizontal="right" wrapText="1" readingOrder="1"/>
    </xf>
    <xf numFmtId="0" fontId="16" fillId="0" borderId="0" xfId="0" applyFont="1" applyAlignment="1">
      <alignment horizontal="right" wrapText="1" readingOrder="1"/>
    </xf>
    <xf numFmtId="1" fontId="16" fillId="0" borderId="0" xfId="0" applyNumberFormat="1" applyFont="1" applyAlignment="1">
      <alignment horizontal="right" wrapText="1" readingOrder="1"/>
    </xf>
    <xf numFmtId="167" fontId="16" fillId="0" borderId="0" xfId="1" applyNumberFormat="1" applyFont="1" applyBorder="1" applyAlignment="1">
      <alignment horizontal="right" wrapText="1" readingOrder="1"/>
    </xf>
    <xf numFmtId="0" fontId="0" fillId="0" borderId="3" xfId="0" applyBorder="1" applyAlignment="1">
      <alignment horizontal="right"/>
    </xf>
    <xf numFmtId="164" fontId="16" fillId="0" borderId="2" xfId="0" applyNumberFormat="1" applyFont="1" applyBorder="1" applyAlignment="1">
      <alignment horizontal="right" wrapText="1" readingOrder="1"/>
    </xf>
    <xf numFmtId="0" fontId="16" fillId="0" borderId="3" xfId="0" applyFont="1" applyBorder="1" applyAlignment="1">
      <alignment horizontal="right" wrapText="1" readingOrder="1"/>
    </xf>
    <xf numFmtId="164" fontId="16" fillId="0" borderId="2" xfId="1" applyNumberFormat="1" applyFont="1" applyBorder="1" applyAlignment="1">
      <alignment horizontal="right" wrapText="1" readingOrder="1"/>
    </xf>
    <xf numFmtId="164" fontId="16" fillId="0" borderId="3" xfId="0" applyNumberFormat="1" applyFont="1" applyBorder="1" applyAlignment="1">
      <alignment horizontal="right" wrapText="1" readingOrder="1"/>
    </xf>
    <xf numFmtId="164" fontId="16" fillId="0" borderId="3" xfId="1" applyNumberFormat="1" applyFont="1" applyBorder="1" applyAlignment="1">
      <alignment horizontal="right" wrapText="1" readingOrder="1"/>
    </xf>
    <xf numFmtId="0" fontId="14" fillId="5" borderId="8" xfId="0" applyFont="1" applyFill="1" applyBorder="1" applyAlignment="1">
      <alignment wrapText="1" readingOrder="1"/>
    </xf>
    <xf numFmtId="0" fontId="13" fillId="5" borderId="7" xfId="0" applyFont="1" applyFill="1" applyBorder="1" applyAlignment="1">
      <alignment horizontal="left" wrapText="1" readingOrder="1"/>
    </xf>
    <xf numFmtId="0" fontId="13" fillId="5" borderId="8" xfId="0" applyFont="1" applyFill="1" applyBorder="1" applyAlignment="1">
      <alignment horizontal="left" wrapText="1" readingOrder="1"/>
    </xf>
    <xf numFmtId="0" fontId="15" fillId="0" borderId="3" xfId="0" applyFont="1" applyBorder="1" applyAlignment="1">
      <alignment horizontal="center" wrapText="1" readingOrder="1"/>
    </xf>
    <xf numFmtId="0" fontId="16" fillId="0" borderId="2" xfId="0" applyFont="1" applyBorder="1" applyAlignment="1">
      <alignment horizontal="center" wrapText="1" readingOrder="1"/>
    </xf>
    <xf numFmtId="0" fontId="14" fillId="5" borderId="9" xfId="0" applyFont="1" applyFill="1" applyBorder="1" applyAlignment="1">
      <alignment horizontal="center" wrapText="1" readingOrder="1"/>
    </xf>
    <xf numFmtId="0" fontId="14" fillId="5" borderId="10" xfId="0" applyFont="1" applyFill="1" applyBorder="1" applyAlignment="1">
      <alignment horizontal="left" wrapText="1" readingOrder="1"/>
    </xf>
    <xf numFmtId="0" fontId="14" fillId="5" borderId="10" xfId="0" applyFont="1" applyFill="1" applyBorder="1" applyAlignment="1">
      <alignment horizontal="center" wrapText="1" readingOrder="1"/>
    </xf>
    <xf numFmtId="0" fontId="14" fillId="5" borderId="11" xfId="0" applyFont="1" applyFill="1" applyBorder="1" applyAlignment="1">
      <alignment horizontal="center" wrapText="1" readingOrder="1"/>
    </xf>
    <xf numFmtId="0" fontId="16" fillId="3" borderId="6" xfId="0" applyFont="1" applyFill="1" applyBorder="1" applyAlignment="1">
      <alignment horizontal="center" wrapText="1" readingOrder="1"/>
    </xf>
    <xf numFmtId="0" fontId="16" fillId="3" borderId="4" xfId="0" applyFont="1" applyFill="1" applyBorder="1" applyAlignment="1">
      <alignment horizontal="right" wrapText="1" readingOrder="1"/>
    </xf>
    <xf numFmtId="2" fontId="16" fillId="3" borderId="6" xfId="0" applyNumberFormat="1" applyFont="1" applyFill="1" applyBorder="1" applyAlignment="1">
      <alignment horizontal="right" wrapText="1" readingOrder="1"/>
    </xf>
    <xf numFmtId="170" fontId="16" fillId="3" borderId="4" xfId="0" applyNumberFormat="1" applyFont="1" applyFill="1" applyBorder="1" applyAlignment="1">
      <alignment horizontal="right" wrapText="1" readingOrder="1"/>
    </xf>
    <xf numFmtId="170" fontId="16" fillId="3" borderId="6" xfId="0" applyNumberFormat="1" applyFont="1" applyFill="1" applyBorder="1" applyAlignment="1">
      <alignment horizontal="right" wrapText="1" readingOrder="1"/>
    </xf>
    <xf numFmtId="9" fontId="0" fillId="0" borderId="3" xfId="0" applyNumberFormat="1" applyBorder="1"/>
    <xf numFmtId="164" fontId="16" fillId="0" borderId="13" xfId="0" applyNumberFormat="1" applyFont="1" applyBorder="1" applyAlignment="1">
      <alignment horizontal="right" wrapText="1" readingOrder="1"/>
    </xf>
    <xf numFmtId="164" fontId="16" fillId="0" borderId="15" xfId="0" applyNumberFormat="1" applyFont="1" applyBorder="1" applyAlignment="1">
      <alignment horizontal="right" wrapText="1" readingOrder="1"/>
    </xf>
    <xf numFmtId="164" fontId="16" fillId="0" borderId="16" xfId="0" applyNumberFormat="1" applyFont="1" applyBorder="1" applyAlignment="1">
      <alignment horizontal="right" wrapText="1" readingOrder="1"/>
    </xf>
    <xf numFmtId="10" fontId="0" fillId="0" borderId="0" xfId="0" applyNumberFormat="1"/>
    <xf numFmtId="0" fontId="17" fillId="0" borderId="0" xfId="3" applyBorder="1"/>
    <xf numFmtId="166" fontId="0" fillId="0" borderId="0" xfId="0" applyNumberFormat="1"/>
    <xf numFmtId="0" fontId="4" fillId="5" borderId="7" xfId="0" applyFont="1" applyFill="1" applyBorder="1" applyAlignment="1">
      <alignment horizontal="left" wrapText="1" readingOrder="1"/>
    </xf>
    <xf numFmtId="164" fontId="0" fillId="0" borderId="3" xfId="0" applyNumberFormat="1" applyBorder="1"/>
    <xf numFmtId="0" fontId="18" fillId="0" borderId="0" xfId="0" applyFont="1"/>
    <xf numFmtId="170" fontId="0" fillId="0" borderId="0" xfId="0" applyNumberFormat="1"/>
    <xf numFmtId="167" fontId="3" fillId="0" borderId="0" xfId="1" applyNumberFormat="1" applyFont="1"/>
    <xf numFmtId="166" fontId="7" fillId="0" borderId="0" xfId="0" applyNumberFormat="1" applyFont="1"/>
    <xf numFmtId="167" fontId="6" fillId="0" borderId="0" xfId="1" applyNumberFormat="1" applyFont="1"/>
    <xf numFmtId="167" fontId="5" fillId="0" borderId="0" xfId="1" applyNumberFormat="1" applyFont="1" applyFill="1"/>
    <xf numFmtId="0" fontId="3" fillId="0" borderId="0" xfId="0" applyFont="1" applyAlignment="1">
      <alignment horizontal="left"/>
    </xf>
    <xf numFmtId="43" fontId="0" fillId="0" borderId="0" xfId="1" applyFont="1" applyFill="1" applyBorder="1"/>
    <xf numFmtId="167" fontId="4" fillId="0" borderId="0" xfId="1" applyNumberFormat="1" applyFont="1" applyFill="1"/>
    <xf numFmtId="0" fontId="29" fillId="13" borderId="30" xfId="0" applyFont="1" applyFill="1" applyBorder="1"/>
    <xf numFmtId="0" fontId="29" fillId="13" borderId="31" xfId="0" applyFont="1" applyFill="1" applyBorder="1"/>
    <xf numFmtId="0" fontId="29" fillId="0" borderId="0" xfId="0" applyFont="1"/>
    <xf numFmtId="0" fontId="30" fillId="2" borderId="33" xfId="0" applyFont="1" applyFill="1" applyBorder="1"/>
    <xf numFmtId="0" fontId="31" fillId="2" borderId="5" xfId="0" applyFont="1" applyFill="1" applyBorder="1"/>
    <xf numFmtId="0" fontId="31" fillId="2" borderId="6" xfId="0" applyFont="1" applyFill="1" applyBorder="1"/>
    <xf numFmtId="0" fontId="29" fillId="14" borderId="29" xfId="0" applyFont="1" applyFill="1" applyBorder="1"/>
    <xf numFmtId="0" fontId="29" fillId="14" borderId="31" xfId="0" applyFont="1" applyFill="1" applyBorder="1"/>
    <xf numFmtId="0" fontId="29" fillId="15" borderId="29" xfId="0" applyFont="1" applyFill="1" applyBorder="1"/>
    <xf numFmtId="0" fontId="29" fillId="15" borderId="31" xfId="0" applyFont="1" applyFill="1" applyBorder="1"/>
    <xf numFmtId="0" fontId="30" fillId="6" borderId="1" xfId="0" applyFont="1" applyFill="1" applyBorder="1"/>
    <xf numFmtId="169" fontId="30" fillId="6" borderId="7" xfId="0" applyNumberFormat="1" applyFont="1" applyFill="1" applyBorder="1" applyAlignment="1">
      <alignment horizontal="center"/>
    </xf>
    <xf numFmtId="169" fontId="30" fillId="6" borderId="8" xfId="0" applyNumberFormat="1" applyFont="1" applyFill="1" applyBorder="1" applyAlignment="1">
      <alignment horizontal="center"/>
    </xf>
    <xf numFmtId="0" fontId="32" fillId="13" borderId="22" xfId="0" applyFont="1" applyFill="1" applyBorder="1"/>
    <xf numFmtId="0" fontId="32" fillId="0" borderId="0" xfId="0" applyFont="1"/>
    <xf numFmtId="0" fontId="32" fillId="13" borderId="34" xfId="0" applyFont="1" applyFill="1" applyBorder="1" applyAlignment="1">
      <alignment horizontal="left"/>
    </xf>
    <xf numFmtId="0" fontId="32" fillId="13" borderId="7" xfId="0" applyFont="1" applyFill="1" applyBorder="1" applyAlignment="1">
      <alignment horizontal="left"/>
    </xf>
    <xf numFmtId="0" fontId="32" fillId="13" borderId="7" xfId="0" applyFont="1" applyFill="1" applyBorder="1"/>
    <xf numFmtId="0" fontId="33" fillId="13" borderId="8" xfId="0" applyFont="1" applyFill="1" applyBorder="1" applyAlignment="1">
      <alignment horizontal="right"/>
    </xf>
    <xf numFmtId="0" fontId="32" fillId="14" borderId="21" xfId="0" applyFont="1" applyFill="1" applyBorder="1"/>
    <xf numFmtId="0" fontId="30" fillId="2" borderId="1" xfId="0" applyFont="1" applyFill="1" applyBorder="1"/>
    <xf numFmtId="0" fontId="31" fillId="2" borderId="7" xfId="0" applyFont="1" applyFill="1" applyBorder="1"/>
    <xf numFmtId="0" fontId="31" fillId="2" borderId="8" xfId="0" applyFont="1" applyFill="1" applyBorder="1"/>
    <xf numFmtId="0" fontId="32" fillId="14" borderId="22" xfId="0" applyFont="1" applyFill="1" applyBorder="1"/>
    <xf numFmtId="0" fontId="32" fillId="15" borderId="21" xfId="0" applyFont="1" applyFill="1" applyBorder="1"/>
    <xf numFmtId="0" fontId="32" fillId="15" borderId="22" xfId="0" applyFont="1" applyFill="1" applyBorder="1"/>
    <xf numFmtId="0" fontId="32" fillId="13" borderId="1" xfId="0" applyFont="1" applyFill="1" applyBorder="1" applyAlignment="1">
      <alignment horizontal="left"/>
    </xf>
    <xf numFmtId="167" fontId="32" fillId="13" borderId="7" xfId="1" applyNumberFormat="1" applyFont="1" applyFill="1" applyBorder="1" applyAlignment="1">
      <alignment horizontal="center"/>
    </xf>
    <xf numFmtId="167" fontId="32" fillId="13" borderId="7" xfId="0" applyNumberFormat="1" applyFont="1" applyFill="1" applyBorder="1" applyAlignment="1">
      <alignment horizontal="center"/>
    </xf>
    <xf numFmtId="167" fontId="32" fillId="13" borderId="8" xfId="0" applyNumberFormat="1" applyFont="1" applyFill="1" applyBorder="1" applyAlignment="1">
      <alignment horizontal="center"/>
    </xf>
    <xf numFmtId="0" fontId="32" fillId="13" borderId="21" xfId="0" applyFont="1" applyFill="1" applyBorder="1"/>
    <xf numFmtId="167" fontId="32" fillId="13" borderId="2" xfId="1" applyNumberFormat="1" applyFont="1" applyFill="1" applyBorder="1" applyAlignment="1">
      <alignment horizontal="right"/>
    </xf>
    <xf numFmtId="0" fontId="32" fillId="13" borderId="1" xfId="0" applyFont="1" applyFill="1" applyBorder="1"/>
    <xf numFmtId="167" fontId="33" fillId="13" borderId="7" xfId="1" applyNumberFormat="1" applyFont="1" applyFill="1" applyBorder="1"/>
    <xf numFmtId="0" fontId="32" fillId="13" borderId="8" xfId="0" applyFont="1" applyFill="1" applyBorder="1"/>
    <xf numFmtId="0" fontId="32" fillId="13" borderId="3" xfId="0" applyFont="1" applyFill="1" applyBorder="1" applyAlignment="1">
      <alignment horizontal="left"/>
    </xf>
    <xf numFmtId="167" fontId="32" fillId="13" borderId="0" xfId="1" applyNumberFormat="1" applyFont="1" applyFill="1" applyBorder="1" applyAlignment="1">
      <alignment horizontal="center"/>
    </xf>
    <xf numFmtId="167" fontId="32" fillId="13" borderId="2" xfId="1" applyNumberFormat="1" applyFont="1" applyFill="1" applyBorder="1" applyAlignment="1">
      <alignment horizontal="center"/>
    </xf>
    <xf numFmtId="0" fontId="32" fillId="13" borderId="3" xfId="0" applyFont="1" applyFill="1" applyBorder="1"/>
    <xf numFmtId="167" fontId="33" fillId="13" borderId="0" xfId="1" applyNumberFormat="1" applyFont="1" applyFill="1" applyBorder="1"/>
    <xf numFmtId="0" fontId="32" fillId="13" borderId="2" xfId="0" applyFont="1" applyFill="1" applyBorder="1"/>
    <xf numFmtId="0" fontId="32" fillId="13" borderId="9" xfId="0" applyFont="1" applyFill="1" applyBorder="1" applyAlignment="1">
      <alignment horizontal="left"/>
    </xf>
    <xf numFmtId="167" fontId="32" fillId="13" borderId="10" xfId="1" applyNumberFormat="1" applyFont="1" applyFill="1" applyBorder="1" applyAlignment="1">
      <alignment horizontal="center"/>
    </xf>
    <xf numFmtId="0" fontId="32" fillId="13" borderId="35" xfId="0" applyFont="1" applyFill="1" applyBorder="1"/>
    <xf numFmtId="0" fontId="32" fillId="13" borderId="10" xfId="0" applyFont="1" applyFill="1" applyBorder="1"/>
    <xf numFmtId="1" fontId="32" fillId="13" borderId="11" xfId="0" applyNumberFormat="1" applyFont="1" applyFill="1" applyBorder="1" applyAlignment="1">
      <alignment horizontal="right"/>
    </xf>
    <xf numFmtId="0" fontId="34" fillId="13" borderId="1" xfId="0" applyFont="1" applyFill="1" applyBorder="1" applyAlignment="1">
      <alignment horizontal="left"/>
    </xf>
    <xf numFmtId="167" fontId="32" fillId="13" borderId="8" xfId="1" applyNumberFormat="1" applyFont="1" applyFill="1" applyBorder="1" applyAlignment="1">
      <alignment horizontal="center"/>
    </xf>
    <xf numFmtId="0" fontId="32" fillId="13" borderId="9" xfId="0" applyFont="1" applyFill="1" applyBorder="1"/>
    <xf numFmtId="0" fontId="33" fillId="13" borderId="10" xfId="0" applyFont="1" applyFill="1" applyBorder="1"/>
    <xf numFmtId="0" fontId="32" fillId="13" borderId="11" xfId="0" applyFont="1" applyFill="1" applyBorder="1"/>
    <xf numFmtId="3" fontId="30" fillId="2" borderId="7" xfId="0" applyNumberFormat="1" applyFont="1" applyFill="1" applyBorder="1"/>
    <xf numFmtId="3" fontId="30" fillId="2" borderId="8" xfId="0" applyNumberFormat="1" applyFont="1" applyFill="1" applyBorder="1"/>
    <xf numFmtId="3" fontId="35" fillId="4" borderId="5" xfId="0" applyNumberFormat="1" applyFont="1" applyFill="1" applyBorder="1"/>
    <xf numFmtId="3" fontId="35" fillId="4" borderId="6" xfId="0" applyNumberFormat="1" applyFont="1" applyFill="1" applyBorder="1"/>
    <xf numFmtId="0" fontId="34" fillId="13" borderId="9" xfId="0" applyFont="1" applyFill="1" applyBorder="1"/>
    <xf numFmtId="167" fontId="36" fillId="13" borderId="10" xfId="1" applyNumberFormat="1" applyFont="1" applyFill="1" applyBorder="1"/>
    <xf numFmtId="167" fontId="32" fillId="13" borderId="11" xfId="1" applyNumberFormat="1" applyFont="1" applyFill="1" applyBorder="1" applyAlignment="1">
      <alignment horizontal="center"/>
    </xf>
    <xf numFmtId="166" fontId="33" fillId="13" borderId="2" xfId="0" applyNumberFormat="1" applyFont="1" applyFill="1" applyBorder="1"/>
    <xf numFmtId="0" fontId="34" fillId="13" borderId="3" xfId="0" applyFont="1" applyFill="1" applyBorder="1"/>
    <xf numFmtId="176" fontId="33" fillId="13" borderId="11" xfId="1" applyNumberFormat="1" applyFont="1" applyFill="1" applyBorder="1"/>
    <xf numFmtId="0" fontId="30" fillId="2" borderId="4" xfId="0" applyFont="1" applyFill="1" applyBorder="1"/>
    <xf numFmtId="0" fontId="30" fillId="2" borderId="5" xfId="0" applyFont="1" applyFill="1" applyBorder="1"/>
    <xf numFmtId="0" fontId="30" fillId="2" borderId="6" xfId="0" applyFont="1" applyFill="1" applyBorder="1"/>
    <xf numFmtId="0" fontId="32" fillId="13" borderId="2" xfId="0" applyFont="1" applyFill="1" applyBorder="1" applyAlignment="1">
      <alignment horizontal="center"/>
    </xf>
    <xf numFmtId="165" fontId="36" fillId="13" borderId="2" xfId="0" applyNumberFormat="1" applyFont="1" applyFill="1" applyBorder="1"/>
    <xf numFmtId="0" fontId="34" fillId="13" borderId="4" xfId="0" applyFont="1" applyFill="1" applyBorder="1"/>
    <xf numFmtId="167" fontId="32" fillId="13" borderId="5" xfId="1" applyNumberFormat="1" applyFont="1" applyFill="1" applyBorder="1" applyAlignment="1">
      <alignment horizontal="center"/>
    </xf>
    <xf numFmtId="167" fontId="32" fillId="13" borderId="6" xfId="1" applyNumberFormat="1" applyFont="1" applyFill="1" applyBorder="1" applyAlignment="1">
      <alignment horizontal="center"/>
    </xf>
    <xf numFmtId="166" fontId="33" fillId="13" borderId="8" xfId="0" applyNumberFormat="1" applyFont="1" applyFill="1" applyBorder="1"/>
    <xf numFmtId="9" fontId="32" fillId="13" borderId="0" xfId="2" applyFont="1" applyFill="1" applyBorder="1"/>
    <xf numFmtId="9" fontId="32" fillId="14" borderId="21" xfId="2" applyFont="1" applyFill="1" applyBorder="1"/>
    <xf numFmtId="164" fontId="36" fillId="13" borderId="10" xfId="0" applyNumberFormat="1" applyFont="1" applyFill="1" applyBorder="1" applyAlignment="1">
      <alignment horizontal="right"/>
    </xf>
    <xf numFmtId="165" fontId="33" fillId="13" borderId="11" xfId="0" applyNumberFormat="1" applyFont="1" applyFill="1" applyBorder="1"/>
    <xf numFmtId="9" fontId="32" fillId="14" borderId="22" xfId="2" applyFont="1" applyFill="1" applyBorder="1"/>
    <xf numFmtId="9" fontId="32" fillId="15" borderId="21" xfId="2" applyFont="1" applyFill="1" applyBorder="1"/>
    <xf numFmtId="9" fontId="32" fillId="15" borderId="22" xfId="2" applyFont="1" applyFill="1" applyBorder="1"/>
    <xf numFmtId="166" fontId="33" fillId="13" borderId="11" xfId="0" applyNumberFormat="1" applyFont="1" applyFill="1" applyBorder="1"/>
    <xf numFmtId="165" fontId="34" fillId="13" borderId="2" xfId="0" applyNumberFormat="1" applyFont="1" applyFill="1" applyBorder="1"/>
    <xf numFmtId="9" fontId="33" fillId="13" borderId="7" xfId="0" applyNumberFormat="1" applyFont="1" applyFill="1" applyBorder="1"/>
    <xf numFmtId="165" fontId="32" fillId="13" borderId="7" xfId="0" applyNumberFormat="1" applyFont="1" applyFill="1" applyBorder="1"/>
    <xf numFmtId="165" fontId="32" fillId="13" borderId="8" xfId="0" applyNumberFormat="1" applyFont="1" applyFill="1" applyBorder="1"/>
    <xf numFmtId="0" fontId="31" fillId="2" borderId="7" xfId="0" applyFont="1" applyFill="1" applyBorder="1" applyAlignment="1">
      <alignment horizontal="center"/>
    </xf>
    <xf numFmtId="0" fontId="31" fillId="2" borderId="8" xfId="0" applyFont="1" applyFill="1" applyBorder="1" applyAlignment="1">
      <alignment horizontal="center"/>
    </xf>
    <xf numFmtId="165" fontId="32" fillId="13" borderId="2" xfId="0" applyNumberFormat="1" applyFont="1" applyFill="1" applyBorder="1"/>
    <xf numFmtId="3" fontId="35" fillId="4" borderId="7" xfId="0" applyNumberFormat="1" applyFont="1" applyFill="1" applyBorder="1"/>
    <xf numFmtId="3" fontId="35" fillId="4" borderId="8" xfId="0" applyNumberFormat="1" applyFont="1" applyFill="1" applyBorder="1"/>
    <xf numFmtId="3" fontId="33" fillId="13" borderId="7" xfId="0" applyNumberFormat="1" applyFont="1" applyFill="1" applyBorder="1" applyAlignment="1">
      <alignment horizontal="center"/>
    </xf>
    <xf numFmtId="10" fontId="33" fillId="13" borderId="10" xfId="0" applyNumberFormat="1" applyFont="1" applyFill="1" applyBorder="1"/>
    <xf numFmtId="165" fontId="32" fillId="13" borderId="10" xfId="0" applyNumberFormat="1" applyFont="1" applyFill="1" applyBorder="1"/>
    <xf numFmtId="165" fontId="32" fillId="13" borderId="11" xfId="0" applyNumberFormat="1" applyFont="1" applyFill="1" applyBorder="1"/>
    <xf numFmtId="0" fontId="34" fillId="13" borderId="10" xfId="0" applyFont="1" applyFill="1" applyBorder="1"/>
    <xf numFmtId="165" fontId="34" fillId="13" borderId="10" xfId="0" applyNumberFormat="1" applyFont="1" applyFill="1" applyBorder="1"/>
    <xf numFmtId="165" fontId="34" fillId="13" borderId="11" xfId="0" applyNumberFormat="1" applyFont="1" applyFill="1" applyBorder="1"/>
    <xf numFmtId="3" fontId="33" fillId="13" borderId="10" xfId="0" applyNumberFormat="1" applyFont="1" applyFill="1" applyBorder="1" applyAlignment="1">
      <alignment horizontal="center"/>
    </xf>
    <xf numFmtId="3" fontId="34" fillId="13" borderId="10" xfId="0" applyNumberFormat="1" applyFont="1" applyFill="1" applyBorder="1" applyAlignment="1">
      <alignment horizontal="center"/>
    </xf>
    <xf numFmtId="164" fontId="34" fillId="13" borderId="10" xfId="0" applyNumberFormat="1" applyFont="1" applyFill="1" applyBorder="1" applyAlignment="1">
      <alignment horizontal="right"/>
    </xf>
    <xf numFmtId="165" fontId="34" fillId="13" borderId="10" xfId="0" applyNumberFormat="1" applyFont="1" applyFill="1" applyBorder="1" applyAlignment="1">
      <alignment horizontal="right"/>
    </xf>
    <xf numFmtId="165" fontId="34" fillId="13" borderId="11" xfId="0" applyNumberFormat="1" applyFont="1" applyFill="1" applyBorder="1" applyAlignment="1">
      <alignment horizontal="right"/>
    </xf>
    <xf numFmtId="165" fontId="33" fillId="13" borderId="7" xfId="0" applyNumberFormat="1" applyFont="1" applyFill="1" applyBorder="1" applyAlignment="1">
      <alignment horizontal="right"/>
    </xf>
    <xf numFmtId="177" fontId="33" fillId="13" borderId="7" xfId="0" applyNumberFormat="1" applyFont="1" applyFill="1" applyBorder="1"/>
    <xf numFmtId="165" fontId="32" fillId="13" borderId="8" xfId="0" applyNumberFormat="1" applyFont="1" applyFill="1" applyBorder="1" applyAlignment="1">
      <alignment horizontal="right"/>
    </xf>
    <xf numFmtId="177" fontId="33" fillId="13" borderId="10" xfId="0" applyNumberFormat="1" applyFont="1" applyFill="1" applyBorder="1"/>
    <xf numFmtId="165" fontId="32" fillId="13" borderId="11" xfId="0" applyNumberFormat="1" applyFont="1" applyFill="1" applyBorder="1" applyAlignment="1">
      <alignment horizontal="right"/>
    </xf>
    <xf numFmtId="0" fontId="34" fillId="13" borderId="5" xfId="0" applyFont="1" applyFill="1" applyBorder="1"/>
    <xf numFmtId="165" fontId="34" fillId="13" borderId="5" xfId="0" applyNumberFormat="1" applyFont="1" applyFill="1" applyBorder="1"/>
    <xf numFmtId="165" fontId="34" fillId="13" borderId="6" xfId="0" applyNumberFormat="1" applyFont="1" applyFill="1" applyBorder="1"/>
    <xf numFmtId="10" fontId="33" fillId="13" borderId="7" xfId="0" applyNumberFormat="1" applyFont="1" applyFill="1" applyBorder="1"/>
    <xf numFmtId="165" fontId="36" fillId="13" borderId="8" xfId="0" applyNumberFormat="1" applyFont="1" applyFill="1" applyBorder="1"/>
    <xf numFmtId="165" fontId="33" fillId="13" borderId="2" xfId="0" applyNumberFormat="1" applyFont="1" applyFill="1" applyBorder="1"/>
    <xf numFmtId="166" fontId="33" fillId="13" borderId="0" xfId="2" applyNumberFormat="1" applyFont="1" applyFill="1" applyBorder="1"/>
    <xf numFmtId="165" fontId="40" fillId="13" borderId="2" xfId="0" applyNumberFormat="1" applyFont="1" applyFill="1" applyBorder="1"/>
    <xf numFmtId="165" fontId="32" fillId="14" borderId="21" xfId="0" applyNumberFormat="1" applyFont="1" applyFill="1" applyBorder="1"/>
    <xf numFmtId="165" fontId="40" fillId="13" borderId="11" xfId="0" applyNumberFormat="1" applyFont="1" applyFill="1" applyBorder="1"/>
    <xf numFmtId="165" fontId="32" fillId="14" borderId="22" xfId="0" applyNumberFormat="1" applyFont="1" applyFill="1" applyBorder="1"/>
    <xf numFmtId="165" fontId="32" fillId="15" borderId="21" xfId="0" applyNumberFormat="1" applyFont="1" applyFill="1" applyBorder="1"/>
    <xf numFmtId="165" fontId="32" fillId="15" borderId="22" xfId="0" applyNumberFormat="1" applyFont="1" applyFill="1" applyBorder="1"/>
    <xf numFmtId="165" fontId="36" fillId="13" borderId="11" xfId="0" applyNumberFormat="1" applyFont="1" applyFill="1" applyBorder="1"/>
    <xf numFmtId="167" fontId="32" fillId="15" borderId="21" xfId="1" applyNumberFormat="1" applyFont="1" applyFill="1" applyBorder="1"/>
    <xf numFmtId="0" fontId="32" fillId="2" borderId="7" xfId="0" applyFont="1" applyFill="1" applyBorder="1"/>
    <xf numFmtId="0" fontId="32" fillId="2" borderId="8" xfId="0" applyFont="1" applyFill="1" applyBorder="1"/>
    <xf numFmtId="9" fontId="33" fillId="13" borderId="0" xfId="2" applyFont="1" applyFill="1" applyBorder="1"/>
    <xf numFmtId="8" fontId="32" fillId="14" borderId="22" xfId="0" applyNumberFormat="1" applyFont="1" applyFill="1" applyBorder="1"/>
    <xf numFmtId="10" fontId="33" fillId="13" borderId="2" xfId="2" applyNumberFormat="1" applyFont="1" applyFill="1" applyBorder="1" applyAlignment="1">
      <alignment horizontal="right" indent="1"/>
    </xf>
    <xf numFmtId="0" fontId="32" fillId="13" borderId="2" xfId="0" applyFont="1" applyFill="1" applyBorder="1" applyAlignment="1">
      <alignment horizontal="right"/>
    </xf>
    <xf numFmtId="0" fontId="33" fillId="13" borderId="11" xfId="0" applyFont="1" applyFill="1" applyBorder="1" applyAlignment="1">
      <alignment horizontal="right"/>
    </xf>
    <xf numFmtId="0" fontId="33" fillId="13" borderId="2" xfId="0" applyFont="1" applyFill="1" applyBorder="1" applyAlignment="1">
      <alignment horizontal="right"/>
    </xf>
    <xf numFmtId="0" fontId="32" fillId="14" borderId="7" xfId="0" applyFont="1" applyFill="1" applyBorder="1"/>
    <xf numFmtId="0" fontId="33" fillId="14" borderId="7" xfId="0" applyFont="1" applyFill="1" applyBorder="1" applyAlignment="1">
      <alignment horizontal="right"/>
    </xf>
    <xf numFmtId="0" fontId="32" fillId="15" borderId="7" xfId="0" applyFont="1" applyFill="1" applyBorder="1"/>
    <xf numFmtId="0" fontId="33" fillId="15" borderId="7" xfId="0" applyFont="1" applyFill="1" applyBorder="1" applyAlignment="1">
      <alignment horizontal="right"/>
    </xf>
    <xf numFmtId="0" fontId="30" fillId="2" borderId="3" xfId="0" applyFont="1" applyFill="1" applyBorder="1"/>
    <xf numFmtId="0" fontId="32" fillId="2" borderId="2" xfId="0" applyFont="1" applyFill="1" applyBorder="1"/>
    <xf numFmtId="165" fontId="36" fillId="13" borderId="7" xfId="0" applyNumberFormat="1" applyFont="1" applyFill="1" applyBorder="1"/>
    <xf numFmtId="165" fontId="33" fillId="13" borderId="8" xfId="0" applyNumberFormat="1" applyFont="1" applyFill="1" applyBorder="1"/>
    <xf numFmtId="165" fontId="35" fillId="13" borderId="5" xfId="0" applyNumberFormat="1" applyFont="1" applyFill="1" applyBorder="1"/>
    <xf numFmtId="165" fontId="35" fillId="13" borderId="6" xfId="0" applyNumberFormat="1" applyFont="1" applyFill="1" applyBorder="1"/>
    <xf numFmtId="165" fontId="36" fillId="13" borderId="10" xfId="0" applyNumberFormat="1" applyFont="1" applyFill="1" applyBorder="1"/>
    <xf numFmtId="165" fontId="35" fillId="13" borderId="11" xfId="0" applyNumberFormat="1" applyFont="1" applyFill="1" applyBorder="1"/>
    <xf numFmtId="0" fontId="34" fillId="14" borderId="1" xfId="0" applyFont="1" applyFill="1" applyBorder="1"/>
    <xf numFmtId="165" fontId="34" fillId="14" borderId="7" xfId="0" applyNumberFormat="1" applyFont="1" applyFill="1" applyBorder="1"/>
    <xf numFmtId="164" fontId="34" fillId="14" borderId="7" xfId="0" applyNumberFormat="1" applyFont="1" applyFill="1" applyBorder="1"/>
    <xf numFmtId="167" fontId="34" fillId="14" borderId="8" xfId="0" applyNumberFormat="1" applyFont="1" applyFill="1" applyBorder="1"/>
    <xf numFmtId="0" fontId="34" fillId="15" borderId="1" xfId="0" applyFont="1" applyFill="1" applyBorder="1"/>
    <xf numFmtId="165" fontId="34" fillId="15" borderId="7" xfId="0" applyNumberFormat="1" applyFont="1" applyFill="1" applyBorder="1"/>
    <xf numFmtId="164" fontId="34" fillId="15" borderId="7" xfId="0" applyNumberFormat="1" applyFont="1" applyFill="1" applyBorder="1"/>
    <xf numFmtId="167" fontId="34" fillId="15" borderId="8" xfId="0" applyNumberFormat="1" applyFont="1" applyFill="1" applyBorder="1"/>
    <xf numFmtId="0" fontId="41" fillId="13" borderId="7" xfId="0" applyFont="1" applyFill="1" applyBorder="1" applyAlignment="1">
      <alignment horizontal="right"/>
    </xf>
    <xf numFmtId="0" fontId="41" fillId="13" borderId="8" xfId="0" applyFont="1" applyFill="1" applyBorder="1" applyAlignment="1">
      <alignment horizontal="right"/>
    </xf>
    <xf numFmtId="0" fontId="33" fillId="13" borderId="2" xfId="1" applyNumberFormat="1" applyFont="1" applyFill="1" applyBorder="1" applyAlignment="1">
      <alignment horizontal="center"/>
    </xf>
    <xf numFmtId="0" fontId="32" fillId="13" borderId="2" xfId="1" applyNumberFormat="1" applyFont="1" applyFill="1" applyBorder="1" applyAlignment="1">
      <alignment horizontal="center"/>
    </xf>
    <xf numFmtId="0" fontId="36" fillId="13" borderId="2" xfId="1" applyNumberFormat="1" applyFont="1" applyFill="1" applyBorder="1" applyAlignment="1">
      <alignment horizontal="center"/>
    </xf>
    <xf numFmtId="43" fontId="32" fillId="14" borderId="22" xfId="0" applyNumberFormat="1" applyFont="1" applyFill="1" applyBorder="1"/>
    <xf numFmtId="14" fontId="32" fillId="13" borderId="10" xfId="0" applyNumberFormat="1" applyFont="1" applyFill="1" applyBorder="1"/>
    <xf numFmtId="0" fontId="36" fillId="13" borderId="11" xfId="0" applyFont="1" applyFill="1" applyBorder="1" applyAlignment="1">
      <alignment horizontal="center"/>
    </xf>
    <xf numFmtId="0" fontId="32" fillId="3" borderId="1" xfId="0" applyFont="1" applyFill="1" applyBorder="1"/>
    <xf numFmtId="166" fontId="32" fillId="3" borderId="8" xfId="2" applyNumberFormat="1" applyFont="1" applyFill="1" applyBorder="1"/>
    <xf numFmtId="0" fontId="32" fillId="3" borderId="3" xfId="0" applyFont="1" applyFill="1" applyBorder="1"/>
    <xf numFmtId="168" fontId="32" fillId="3" borderId="2" xfId="0" applyNumberFormat="1" applyFont="1" applyFill="1" applyBorder="1"/>
    <xf numFmtId="0" fontId="32" fillId="3" borderId="9" xfId="0" applyFont="1" applyFill="1" applyBorder="1"/>
    <xf numFmtId="167" fontId="32" fillId="3" borderId="11" xfId="0" applyNumberFormat="1" applyFont="1" applyFill="1" applyBorder="1" applyAlignment="1">
      <alignment horizontal="right"/>
    </xf>
    <xf numFmtId="167" fontId="32" fillId="3" borderId="11" xfId="1" applyNumberFormat="1" applyFont="1" applyFill="1" applyBorder="1" applyAlignment="1">
      <alignment horizontal="right"/>
    </xf>
    <xf numFmtId="0" fontId="32" fillId="13" borderId="12" xfId="0" applyFont="1" applyFill="1" applyBorder="1" applyAlignment="1">
      <alignment horizontal="left"/>
    </xf>
    <xf numFmtId="6" fontId="36" fillId="13" borderId="12" xfId="0" applyNumberFormat="1" applyFont="1" applyFill="1" applyBorder="1" applyAlignment="1">
      <alignment horizontal="right"/>
    </xf>
    <xf numFmtId="165" fontId="36" fillId="13" borderId="12" xfId="0" applyNumberFormat="1" applyFont="1" applyFill="1" applyBorder="1" applyAlignment="1">
      <alignment horizontal="right"/>
    </xf>
    <xf numFmtId="0" fontId="32" fillId="13" borderId="12" xfId="0" applyFont="1" applyFill="1" applyBorder="1"/>
    <xf numFmtId="10" fontId="32" fillId="13" borderId="12" xfId="0" applyNumberFormat="1" applyFont="1" applyFill="1" applyBorder="1" applyAlignment="1">
      <alignment horizontal="right"/>
    </xf>
    <xf numFmtId="0" fontId="32" fillId="14" borderId="23" xfId="0" applyFont="1" applyFill="1" applyBorder="1"/>
    <xf numFmtId="0" fontId="32" fillId="14" borderId="17" xfId="0" applyFont="1" applyFill="1" applyBorder="1"/>
    <xf numFmtId="0" fontId="32" fillId="14" borderId="24" xfId="0" applyFont="1" applyFill="1" applyBorder="1"/>
    <xf numFmtId="0" fontId="32" fillId="15" borderId="23" xfId="0" applyFont="1" applyFill="1" applyBorder="1"/>
    <xf numFmtId="0" fontId="32" fillId="15" borderId="17" xfId="0" applyFont="1" applyFill="1" applyBorder="1"/>
    <xf numFmtId="0" fontId="32" fillId="15" borderId="24" xfId="0" applyFont="1" applyFill="1" applyBorder="1"/>
    <xf numFmtId="0" fontId="32" fillId="13" borderId="17" xfId="0" applyFont="1" applyFill="1" applyBorder="1"/>
    <xf numFmtId="0" fontId="32" fillId="13" borderId="24" xfId="0" applyFont="1" applyFill="1" applyBorder="1"/>
    <xf numFmtId="0" fontId="34" fillId="0" borderId="19" xfId="0" applyFont="1" applyBorder="1"/>
    <xf numFmtId="0" fontId="34" fillId="0" borderId="20" xfId="0" applyFont="1" applyBorder="1"/>
    <xf numFmtId="0" fontId="32" fillId="0" borderId="21" xfId="0" applyFont="1" applyBorder="1"/>
    <xf numFmtId="0" fontId="32" fillId="0" borderId="22" xfId="0" applyFont="1" applyBorder="1"/>
    <xf numFmtId="0" fontId="32" fillId="0" borderId="29" xfId="0" applyFont="1" applyBorder="1"/>
    <xf numFmtId="0" fontId="32" fillId="0" borderId="30" xfId="0" applyFont="1" applyBorder="1"/>
    <xf numFmtId="0" fontId="32" fillId="0" borderId="31" xfId="0" applyFont="1" applyBorder="1"/>
    <xf numFmtId="0" fontId="42" fillId="0" borderId="21" xfId="0" applyFont="1" applyBorder="1"/>
    <xf numFmtId="10" fontId="36" fillId="0" borderId="22" xfId="0" applyNumberFormat="1" applyFont="1" applyBorder="1" applyAlignment="1">
      <alignment horizontal="right"/>
    </xf>
    <xf numFmtId="167" fontId="36" fillId="0" borderId="22" xfId="1" applyNumberFormat="1" applyFont="1" applyFill="1" applyBorder="1" applyAlignment="1">
      <alignment horizontal="right"/>
    </xf>
    <xf numFmtId="173" fontId="32" fillId="0" borderId="22" xfId="0" applyNumberFormat="1" applyFont="1" applyBorder="1" applyAlignment="1">
      <alignment horizontal="right"/>
    </xf>
    <xf numFmtId="0" fontId="32" fillId="0" borderId="22" xfId="0" applyFont="1" applyBorder="1" applyAlignment="1">
      <alignment horizontal="right"/>
    </xf>
    <xf numFmtId="0" fontId="32" fillId="4" borderId="21" xfId="0" applyFont="1" applyFill="1" applyBorder="1"/>
    <xf numFmtId="0" fontId="32" fillId="4" borderId="0" xfId="0" applyFont="1" applyFill="1" applyAlignment="1">
      <alignment horizontal="right"/>
    </xf>
    <xf numFmtId="0" fontId="32" fillId="4" borderId="22" xfId="0" applyFont="1" applyFill="1" applyBorder="1" applyAlignment="1">
      <alignment horizontal="right"/>
    </xf>
    <xf numFmtId="0" fontId="31" fillId="0" borderId="0" xfId="0" applyFont="1"/>
    <xf numFmtId="0" fontId="32" fillId="0" borderId="21" xfId="0" applyFont="1" applyBorder="1" applyAlignment="1">
      <alignment horizontal="left" indent="1"/>
    </xf>
    <xf numFmtId="174" fontId="36" fillId="0" borderId="22" xfId="0" applyNumberFormat="1" applyFont="1" applyBorder="1" applyAlignment="1">
      <alignment horizontal="right"/>
    </xf>
    <xf numFmtId="0" fontId="32" fillId="0" borderId="21" xfId="0" applyFont="1" applyBorder="1" applyAlignment="1">
      <alignment horizontal="left" vertical="top" indent="1"/>
    </xf>
    <xf numFmtId="0" fontId="32" fillId="0" borderId="23" xfId="0" applyFont="1" applyBorder="1"/>
    <xf numFmtId="0" fontId="32" fillId="0" borderId="17" xfId="0" applyFont="1" applyBorder="1"/>
    <xf numFmtId="0" fontId="32" fillId="0" borderId="24" xfId="0" applyFont="1" applyBorder="1"/>
    <xf numFmtId="0" fontId="36" fillId="0" borderId="0" xfId="0" applyFont="1"/>
    <xf numFmtId="174" fontId="32" fillId="0" borderId="22" xfId="1" applyNumberFormat="1" applyFont="1" applyBorder="1" applyAlignment="1"/>
    <xf numFmtId="172" fontId="32" fillId="4" borderId="22" xfId="4" applyNumberFormat="1" applyFont="1" applyFill="1" applyBorder="1" applyAlignment="1"/>
    <xf numFmtId="172" fontId="32" fillId="0" borderId="22" xfId="4" applyNumberFormat="1" applyFont="1" applyBorder="1" applyAlignment="1"/>
    <xf numFmtId="0" fontId="32" fillId="4" borderId="21" xfId="0" applyFont="1" applyFill="1" applyBorder="1" applyAlignment="1">
      <alignment horizontal="left" vertical="top"/>
    </xf>
    <xf numFmtId="0" fontId="43" fillId="0" borderId="18" xfId="0" applyFont="1" applyBorder="1"/>
    <xf numFmtId="178" fontId="0" fillId="0" borderId="0" xfId="4" applyNumberFormat="1" applyFont="1"/>
    <xf numFmtId="0" fontId="32" fillId="4" borderId="3" xfId="0" applyFont="1" applyFill="1" applyBorder="1"/>
    <xf numFmtId="0" fontId="32" fillId="4" borderId="2" xfId="0" applyFont="1" applyFill="1" applyBorder="1" applyAlignment="1">
      <alignment horizontal="right"/>
    </xf>
    <xf numFmtId="0" fontId="32" fillId="13" borderId="0" xfId="0" applyFont="1" applyFill="1"/>
    <xf numFmtId="0" fontId="34" fillId="13" borderId="0" xfId="0" applyFont="1" applyFill="1"/>
    <xf numFmtId="3" fontId="30" fillId="2" borderId="34" xfId="0" applyNumberFormat="1" applyFont="1" applyFill="1" applyBorder="1"/>
    <xf numFmtId="3" fontId="35" fillId="4" borderId="33" xfId="0" applyNumberFormat="1" applyFont="1" applyFill="1" applyBorder="1"/>
    <xf numFmtId="0" fontId="32" fillId="13" borderId="34" xfId="0" applyFont="1" applyFill="1" applyBorder="1"/>
    <xf numFmtId="0" fontId="30" fillId="2" borderId="34" xfId="0" applyFont="1" applyFill="1" applyBorder="1" applyAlignment="1">
      <alignment horizontal="left"/>
    </xf>
    <xf numFmtId="3" fontId="35" fillId="4" borderId="34" xfId="0" applyNumberFormat="1" applyFont="1" applyFill="1" applyBorder="1"/>
    <xf numFmtId="0" fontId="39" fillId="13" borderId="34" xfId="0" applyFont="1" applyFill="1" applyBorder="1"/>
    <xf numFmtId="0" fontId="39" fillId="13" borderId="21" xfId="0" applyFont="1" applyFill="1" applyBorder="1"/>
    <xf numFmtId="0" fontId="39" fillId="13" borderId="35" xfId="0" applyFont="1" applyFill="1" applyBorder="1"/>
    <xf numFmtId="1" fontId="34" fillId="13" borderId="35" xfId="0" applyNumberFormat="1" applyFont="1" applyFill="1" applyBorder="1" applyAlignment="1">
      <alignment horizontal="left"/>
    </xf>
    <xf numFmtId="1" fontId="32" fillId="13" borderId="35" xfId="0" applyNumberFormat="1" applyFont="1" applyFill="1" applyBorder="1" applyAlignment="1">
      <alignment horizontal="left"/>
    </xf>
    <xf numFmtId="0" fontId="0" fillId="0" borderId="17" xfId="0" applyBorder="1"/>
    <xf numFmtId="0" fontId="36" fillId="0" borderId="21" xfId="0" applyFont="1" applyBorder="1"/>
    <xf numFmtId="0" fontId="44" fillId="0" borderId="0" xfId="0" applyFont="1" applyAlignment="1">
      <alignment horizontal="left" vertical="center" indent="1"/>
    </xf>
    <xf numFmtId="0" fontId="45" fillId="13" borderId="29" xfId="0" applyFont="1" applyFill="1" applyBorder="1"/>
    <xf numFmtId="0" fontId="45" fillId="0" borderId="0" xfId="0" applyFont="1"/>
    <xf numFmtId="0" fontId="6" fillId="0" borderId="0" xfId="0" applyFont="1" applyAlignment="1">
      <alignment horizontal="left" indent="1"/>
    </xf>
    <xf numFmtId="0" fontId="2" fillId="16" borderId="0" xfId="0" applyFont="1" applyFill="1"/>
    <xf numFmtId="0" fontId="2" fillId="17" borderId="0" xfId="0" applyFont="1" applyFill="1"/>
    <xf numFmtId="44" fontId="0" fillId="0" borderId="0" xfId="4" applyFont="1"/>
    <xf numFmtId="0" fontId="32" fillId="0" borderId="8" xfId="0" applyFont="1" applyBorder="1"/>
    <xf numFmtId="0" fontId="32" fillId="0" borderId="2" xfId="0" applyFont="1" applyBorder="1"/>
    <xf numFmtId="0" fontId="32" fillId="0" borderId="11" xfId="0" applyFont="1" applyBorder="1"/>
    <xf numFmtId="174" fontId="32" fillId="0" borderId="13" xfId="0" applyNumberFormat="1" applyFont="1" applyBorder="1" applyAlignment="1">
      <alignment horizontal="right" vertical="center"/>
    </xf>
    <xf numFmtId="166" fontId="32" fillId="0" borderId="15" xfId="0" applyNumberFormat="1" applyFont="1" applyBorder="1" applyAlignment="1">
      <alignment horizontal="right" vertical="center"/>
    </xf>
    <xf numFmtId="178" fontId="32" fillId="0" borderId="16" xfId="4" applyNumberFormat="1" applyFont="1" applyBorder="1" applyAlignment="1">
      <alignment horizontal="right" vertical="center"/>
    </xf>
    <xf numFmtId="0" fontId="30" fillId="18" borderId="1" xfId="0" applyFont="1" applyFill="1" applyBorder="1" applyAlignment="1">
      <alignment horizontal="center" vertical="center"/>
    </xf>
    <xf numFmtId="0" fontId="30" fillId="18" borderId="7" xfId="0" applyFont="1" applyFill="1" applyBorder="1" applyAlignment="1">
      <alignment horizontal="center" vertical="center"/>
    </xf>
    <xf numFmtId="0" fontId="30" fillId="18" borderId="7" xfId="0" applyFont="1" applyFill="1" applyBorder="1"/>
    <xf numFmtId="0" fontId="30" fillId="18" borderId="8" xfId="0" applyFont="1" applyFill="1" applyBorder="1"/>
    <xf numFmtId="0" fontId="30" fillId="18" borderId="3" xfId="0" applyFont="1" applyFill="1" applyBorder="1" applyAlignment="1">
      <alignment horizontal="left" vertical="center"/>
    </xf>
    <xf numFmtId="0" fontId="30" fillId="18" borderId="9" xfId="0" applyFont="1" applyFill="1" applyBorder="1" applyAlignment="1">
      <alignment horizontal="left" vertical="center"/>
    </xf>
    <xf numFmtId="0" fontId="30" fillId="18" borderId="7" xfId="0" applyFont="1" applyFill="1" applyBorder="1" applyAlignment="1">
      <alignment horizontal="left" vertical="center" indent="1"/>
    </xf>
    <xf numFmtId="9" fontId="34" fillId="0" borderId="1" xfId="2" applyFont="1" applyBorder="1" applyAlignment="1">
      <alignment horizontal="right" vertical="center"/>
    </xf>
    <xf numFmtId="0" fontId="34" fillId="0" borderId="7" xfId="0" applyFont="1" applyBorder="1"/>
    <xf numFmtId="9" fontId="34" fillId="0" borderId="3" xfId="0" applyNumberFormat="1" applyFont="1" applyBorder="1" applyAlignment="1">
      <alignment horizontal="right" vertical="center"/>
    </xf>
    <xf numFmtId="0" fontId="34" fillId="0" borderId="0" xfId="0" applyFont="1"/>
    <xf numFmtId="9" fontId="34" fillId="0" borderId="9" xfId="2" applyFont="1" applyBorder="1" applyAlignment="1">
      <alignment horizontal="right" vertical="center"/>
    </xf>
    <xf numFmtId="0" fontId="34" fillId="0" borderId="10" xfId="0" applyFont="1" applyBorder="1"/>
    <xf numFmtId="0" fontId="34" fillId="13" borderId="21" xfId="0" applyFont="1" applyFill="1" applyBorder="1" applyAlignment="1">
      <alignment horizontal="left" vertical="top" indent="1"/>
    </xf>
    <xf numFmtId="10" fontId="34" fillId="13" borderId="22" xfId="2" applyNumberFormat="1" applyFont="1" applyFill="1" applyBorder="1" applyAlignment="1"/>
    <xf numFmtId="0" fontId="32" fillId="13" borderId="21" xfId="0" applyFont="1" applyFill="1" applyBorder="1" applyAlignment="1">
      <alignment horizontal="left" indent="1"/>
    </xf>
    <xf numFmtId="172" fontId="32" fillId="13" borderId="22" xfId="4" applyNumberFormat="1" applyFont="1" applyFill="1" applyBorder="1" applyAlignment="1"/>
    <xf numFmtId="0" fontId="32" fillId="13" borderId="21" xfId="0" applyFont="1" applyFill="1" applyBorder="1" applyAlignment="1">
      <alignment horizontal="left" vertical="top" indent="1"/>
    </xf>
    <xf numFmtId="10" fontId="32" fillId="13" borderId="22" xfId="2" applyNumberFormat="1" applyFont="1" applyFill="1" applyBorder="1" applyAlignment="1"/>
    <xf numFmtId="0" fontId="42" fillId="0" borderId="0" xfId="0" applyFont="1"/>
    <xf numFmtId="14" fontId="36" fillId="0" borderId="0" xfId="0" applyNumberFormat="1" applyFont="1" applyAlignment="1">
      <alignment horizontal="right"/>
    </xf>
    <xf numFmtId="0" fontId="32" fillId="4" borderId="0" xfId="0" applyFont="1" applyFill="1"/>
    <xf numFmtId="0" fontId="32" fillId="0" borderId="0" xfId="0" applyFont="1" applyAlignment="1">
      <alignment horizontal="left" indent="1"/>
    </xf>
    <xf numFmtId="0" fontId="32" fillId="0" borderId="0" xfId="0" applyFont="1" applyAlignment="1">
      <alignment horizontal="left" vertical="top" indent="1"/>
    </xf>
    <xf numFmtId="0" fontId="32" fillId="4" borderId="0" xfId="0" applyFont="1" applyFill="1" applyAlignment="1">
      <alignment horizontal="left" vertical="top"/>
    </xf>
    <xf numFmtId="0" fontId="32" fillId="0" borderId="0" xfId="0" applyFont="1" applyAlignment="1">
      <alignment horizontal="left" vertical="top"/>
    </xf>
    <xf numFmtId="10" fontId="32" fillId="0" borderId="22" xfId="2" applyNumberFormat="1" applyFont="1" applyBorder="1" applyAlignment="1"/>
    <xf numFmtId="0" fontId="47" fillId="3" borderId="21" xfId="0" applyFont="1" applyFill="1" applyBorder="1"/>
    <xf numFmtId="0" fontId="35" fillId="3" borderId="0" xfId="0" applyFont="1" applyFill="1"/>
    <xf numFmtId="10" fontId="35" fillId="3" borderId="22" xfId="2" applyNumberFormat="1" applyFont="1" applyFill="1" applyBorder="1" applyAlignment="1"/>
    <xf numFmtId="0" fontId="35" fillId="3" borderId="21" xfId="0" applyFont="1" applyFill="1" applyBorder="1" applyAlignment="1">
      <alignment horizontal="left" vertical="top" indent="1"/>
    </xf>
    <xf numFmtId="180" fontId="35" fillId="3" borderId="22" xfId="2" applyNumberFormat="1" applyFont="1" applyFill="1" applyBorder="1" applyAlignment="1">
      <alignment horizontal="right" indent="1"/>
    </xf>
    <xf numFmtId="0" fontId="36" fillId="3" borderId="0" xfId="0" applyFont="1" applyFill="1"/>
    <xf numFmtId="181" fontId="35" fillId="3" borderId="22" xfId="2" applyNumberFormat="1" applyFont="1" applyFill="1" applyBorder="1" applyAlignment="1">
      <alignment horizontal="right" indent="1"/>
    </xf>
    <xf numFmtId="182" fontId="35" fillId="3" borderId="22" xfId="2" applyNumberFormat="1" applyFont="1" applyFill="1" applyBorder="1" applyAlignment="1">
      <alignment horizontal="right" indent="1"/>
    </xf>
    <xf numFmtId="0" fontId="35" fillId="3" borderId="23" xfId="0" applyFont="1" applyFill="1" applyBorder="1" applyAlignment="1">
      <alignment horizontal="left" vertical="top" indent="1"/>
    </xf>
    <xf numFmtId="0" fontId="35" fillId="3" borderId="17" xfId="0" applyFont="1" applyFill="1" applyBorder="1"/>
    <xf numFmtId="183" fontId="35" fillId="3" borderId="24" xfId="2" applyNumberFormat="1" applyFont="1" applyFill="1" applyBorder="1" applyAlignment="1">
      <alignment horizontal="right" indent="1"/>
    </xf>
    <xf numFmtId="10" fontId="34" fillId="0" borderId="22" xfId="2" applyNumberFormat="1" applyFont="1" applyBorder="1" applyAlignment="1"/>
    <xf numFmtId="10" fontId="32" fillId="0" borderId="0" xfId="2" quotePrefix="1" applyNumberFormat="1" applyFont="1" applyBorder="1"/>
    <xf numFmtId="10" fontId="32" fillId="0" borderId="3" xfId="2" quotePrefix="1" applyNumberFormat="1" applyFont="1" applyBorder="1"/>
    <xf numFmtId="10" fontId="32" fillId="0" borderId="1" xfId="2" quotePrefix="1" applyNumberFormat="1" applyFont="1" applyBorder="1"/>
    <xf numFmtId="10" fontId="32" fillId="0" borderId="7" xfId="2" quotePrefix="1" applyNumberFormat="1" applyFont="1" applyBorder="1"/>
    <xf numFmtId="179" fontId="32" fillId="0" borderId="5" xfId="0" applyNumberFormat="1" applyFont="1" applyBorder="1"/>
    <xf numFmtId="179" fontId="32" fillId="0" borderId="15" xfId="0" applyNumberFormat="1" applyFont="1" applyBorder="1"/>
    <xf numFmtId="10" fontId="48" fillId="0" borderId="1" xfId="2" quotePrefix="1" applyNumberFormat="1" applyFont="1" applyBorder="1"/>
    <xf numFmtId="0" fontId="32" fillId="0" borderId="0" xfId="0" applyFont="1" applyAlignment="1">
      <alignment horizontal="right"/>
    </xf>
    <xf numFmtId="0" fontId="33" fillId="0" borderId="0" xfId="0" applyFont="1"/>
    <xf numFmtId="179" fontId="33" fillId="0" borderId="0" xfId="0" applyNumberFormat="1" applyFont="1" applyAlignment="1">
      <alignment horizontal="left"/>
    </xf>
    <xf numFmtId="165" fontId="35" fillId="13" borderId="10" xfId="0" applyNumberFormat="1" applyFont="1" applyFill="1" applyBorder="1"/>
    <xf numFmtId="179" fontId="33" fillId="0" borderId="15" xfId="0" applyNumberFormat="1" applyFont="1" applyBorder="1"/>
    <xf numFmtId="176" fontId="0" fillId="0" borderId="0" xfId="1" applyNumberFormat="1" applyFont="1"/>
    <xf numFmtId="43" fontId="0" fillId="0" borderId="0" xfId="0" applyNumberFormat="1"/>
    <xf numFmtId="176" fontId="0" fillId="0" borderId="0" xfId="0" applyNumberFormat="1"/>
    <xf numFmtId="167" fontId="33" fillId="13" borderId="7" xfId="1" applyNumberFormat="1" applyFont="1" applyFill="1" applyBorder="1" applyAlignment="1">
      <alignment horizontal="right"/>
    </xf>
    <xf numFmtId="3" fontId="35" fillId="4" borderId="7" xfId="0" applyNumberFormat="1" applyFont="1" applyFill="1" applyBorder="1" applyAlignment="1">
      <alignment horizontal="right"/>
    </xf>
    <xf numFmtId="3" fontId="33" fillId="13" borderId="0" xfId="0" applyNumberFormat="1" applyFont="1" applyFill="1" applyAlignment="1">
      <alignment horizontal="center"/>
    </xf>
    <xf numFmtId="164" fontId="33" fillId="13" borderId="0" xfId="0" applyNumberFormat="1" applyFont="1" applyFill="1" applyAlignment="1">
      <alignment horizontal="right"/>
    </xf>
    <xf numFmtId="3" fontId="34" fillId="13" borderId="5" xfId="0" applyNumberFormat="1" applyFont="1" applyFill="1" applyBorder="1" applyAlignment="1">
      <alignment horizontal="center"/>
    </xf>
    <xf numFmtId="167" fontId="34" fillId="13" borderId="5" xfId="1" applyNumberFormat="1" applyFont="1" applyFill="1" applyBorder="1" applyAlignment="1">
      <alignment horizontal="right"/>
    </xf>
    <xf numFmtId="0" fontId="45" fillId="13" borderId="30" xfId="0" applyFont="1" applyFill="1" applyBorder="1"/>
    <xf numFmtId="0" fontId="30" fillId="2" borderId="7" xfId="0" applyFont="1" applyFill="1" applyBorder="1" applyAlignment="1">
      <alignment horizontal="left"/>
    </xf>
    <xf numFmtId="1" fontId="32" fillId="13" borderId="10" xfId="0" applyNumberFormat="1" applyFont="1" applyFill="1" applyBorder="1" applyAlignment="1">
      <alignment horizontal="left"/>
    </xf>
    <xf numFmtId="1" fontId="34" fillId="13" borderId="10" xfId="0" applyNumberFormat="1" applyFont="1" applyFill="1" applyBorder="1" applyAlignment="1">
      <alignment horizontal="left"/>
    </xf>
    <xf numFmtId="177" fontId="33" fillId="13" borderId="0" xfId="0" applyNumberFormat="1" applyFont="1" applyFill="1"/>
    <xf numFmtId="164" fontId="36" fillId="13" borderId="0" xfId="0" applyNumberFormat="1" applyFont="1" applyFill="1" applyAlignment="1">
      <alignment horizontal="right"/>
    </xf>
    <xf numFmtId="165" fontId="33" fillId="13" borderId="0" xfId="0" applyNumberFormat="1" applyFont="1" applyFill="1" applyAlignment="1">
      <alignment horizontal="right"/>
    </xf>
    <xf numFmtId="164" fontId="34" fillId="13" borderId="5" xfId="1" applyNumberFormat="1" applyFont="1" applyFill="1" applyBorder="1" applyAlignment="1">
      <alignment horizontal="right"/>
    </xf>
    <xf numFmtId="165" fontId="34" fillId="13" borderId="6" xfId="1" applyNumberFormat="1" applyFont="1" applyFill="1" applyBorder="1" applyAlignment="1">
      <alignment horizontal="right"/>
    </xf>
    <xf numFmtId="164" fontId="36" fillId="13" borderId="7" xfId="0" applyNumberFormat="1" applyFont="1" applyFill="1" applyBorder="1" applyAlignment="1">
      <alignment horizontal="right"/>
    </xf>
    <xf numFmtId="165" fontId="33" fillId="13" borderId="8" xfId="0" applyNumberFormat="1" applyFont="1" applyFill="1" applyBorder="1" applyAlignment="1">
      <alignment horizontal="right"/>
    </xf>
    <xf numFmtId="165" fontId="33" fillId="13" borderId="2" xfId="0" applyNumberFormat="1" applyFont="1" applyFill="1" applyBorder="1" applyAlignment="1">
      <alignment horizontal="right"/>
    </xf>
    <xf numFmtId="165" fontId="33" fillId="13" borderId="10" xfId="0" applyNumberFormat="1" applyFont="1" applyFill="1" applyBorder="1" applyAlignment="1">
      <alignment horizontal="right"/>
    </xf>
    <xf numFmtId="165" fontId="33" fillId="13" borderId="11" xfId="0" applyNumberFormat="1" applyFont="1" applyFill="1" applyBorder="1" applyAlignment="1">
      <alignment horizontal="right"/>
    </xf>
    <xf numFmtId="165" fontId="32" fillId="13" borderId="2" xfId="0" applyNumberFormat="1" applyFont="1" applyFill="1" applyBorder="1" applyAlignment="1">
      <alignment horizontal="right"/>
    </xf>
    <xf numFmtId="167" fontId="32" fillId="13" borderId="0" xfId="1" applyNumberFormat="1" applyFont="1" applyFill="1" applyBorder="1" applyAlignment="1">
      <alignment horizontal="right"/>
    </xf>
    <xf numFmtId="165" fontId="33" fillId="13" borderId="0" xfId="1" applyNumberFormat="1" applyFont="1" applyFill="1" applyBorder="1"/>
    <xf numFmtId="165" fontId="33" fillId="13" borderId="7" xfId="1" applyNumberFormat="1" applyFont="1" applyFill="1" applyBorder="1"/>
    <xf numFmtId="165" fontId="36" fillId="13" borderId="0" xfId="0" applyNumberFormat="1" applyFont="1" applyFill="1"/>
    <xf numFmtId="164" fontId="32" fillId="13" borderId="0" xfId="0" applyNumberFormat="1" applyFont="1" applyFill="1"/>
    <xf numFmtId="165" fontId="33" fillId="13" borderId="10" xfId="1" applyNumberFormat="1" applyFont="1" applyFill="1" applyBorder="1"/>
    <xf numFmtId="167" fontId="32" fillId="13" borderId="10" xfId="1" applyNumberFormat="1" applyFont="1" applyFill="1" applyBorder="1" applyAlignment="1">
      <alignment horizontal="right"/>
    </xf>
    <xf numFmtId="0" fontId="32" fillId="13" borderId="5" xfId="0" applyFont="1" applyFill="1" applyBorder="1"/>
    <xf numFmtId="166" fontId="33" fillId="13" borderId="5" xfId="2" applyNumberFormat="1" applyFont="1" applyFill="1" applyBorder="1"/>
    <xf numFmtId="165" fontId="36" fillId="13" borderId="5" xfId="0" applyNumberFormat="1" applyFont="1" applyFill="1" applyBorder="1"/>
    <xf numFmtId="165" fontId="36" fillId="13" borderId="6" xfId="0" applyNumberFormat="1" applyFont="1" applyFill="1" applyBorder="1"/>
    <xf numFmtId="186" fontId="33" fillId="13" borderId="0" xfId="1" applyNumberFormat="1" applyFont="1" applyFill="1" applyBorder="1" applyAlignment="1">
      <alignment horizontal="right"/>
    </xf>
    <xf numFmtId="0" fontId="32" fillId="13" borderId="0" xfId="0" applyFont="1" applyFill="1" applyAlignment="1">
      <alignment horizontal="center"/>
    </xf>
    <xf numFmtId="43" fontId="32" fillId="13" borderId="0" xfId="0" applyNumberFormat="1" applyFont="1" applyFill="1"/>
    <xf numFmtId="0" fontId="33" fillId="13" borderId="0" xfId="0" applyFont="1" applyFill="1"/>
    <xf numFmtId="0" fontId="37" fillId="13" borderId="0" xfId="0" applyFont="1" applyFill="1" applyAlignment="1">
      <alignment horizontal="right" vertical="center"/>
    </xf>
    <xf numFmtId="0" fontId="32" fillId="14" borderId="0" xfId="0" applyFont="1" applyFill="1"/>
    <xf numFmtId="0" fontId="32" fillId="15" borderId="0" xfId="0" applyFont="1" applyFill="1"/>
    <xf numFmtId="164" fontId="38" fillId="13" borderId="0" xfId="0" applyNumberFormat="1" applyFont="1" applyFill="1"/>
    <xf numFmtId="0" fontId="49" fillId="13" borderId="0" xfId="0" applyFont="1" applyFill="1"/>
    <xf numFmtId="9" fontId="49" fillId="13" borderId="0" xfId="2" applyFont="1" applyFill="1" applyBorder="1"/>
    <xf numFmtId="165" fontId="32" fillId="13" borderId="0" xfId="0" applyNumberFormat="1" applyFont="1" applyFill="1"/>
    <xf numFmtId="165" fontId="34" fillId="13" borderId="0" xfId="0" applyNumberFormat="1" applyFont="1" applyFill="1"/>
    <xf numFmtId="166" fontId="33" fillId="13" borderId="0" xfId="0" applyNumberFormat="1" applyFont="1" applyFill="1"/>
    <xf numFmtId="10" fontId="33" fillId="13" borderId="0" xfId="0" applyNumberFormat="1" applyFont="1" applyFill="1"/>
    <xf numFmtId="1" fontId="34" fillId="13" borderId="33" xfId="0" applyNumberFormat="1" applyFont="1" applyFill="1" applyBorder="1" applyAlignment="1">
      <alignment horizontal="left"/>
    </xf>
    <xf numFmtId="184" fontId="33" fillId="13" borderId="0" xfId="0" applyNumberFormat="1" applyFont="1" applyFill="1"/>
    <xf numFmtId="185" fontId="36" fillId="13" borderId="0" xfId="0" applyNumberFormat="1" applyFont="1" applyFill="1"/>
    <xf numFmtId="185" fontId="32" fillId="13" borderId="0" xfId="0" applyNumberFormat="1" applyFont="1" applyFill="1"/>
    <xf numFmtId="175" fontId="33" fillId="13" borderId="0" xfId="0" applyNumberFormat="1" applyFont="1" applyFill="1"/>
    <xf numFmtId="171" fontId="32" fillId="13" borderId="0" xfId="0" applyNumberFormat="1" applyFont="1" applyFill="1"/>
    <xf numFmtId="165" fontId="33" fillId="13" borderId="0" xfId="0" applyNumberFormat="1" applyFont="1" applyFill="1"/>
    <xf numFmtId="9" fontId="33" fillId="13" borderId="0" xfId="0" applyNumberFormat="1" applyFont="1" applyFill="1"/>
    <xf numFmtId="165" fontId="32" fillId="14" borderId="0" xfId="0" applyNumberFormat="1" applyFont="1" applyFill="1"/>
    <xf numFmtId="165" fontId="32" fillId="15" borderId="0" xfId="0" applyNumberFormat="1" applyFont="1" applyFill="1"/>
    <xf numFmtId="0" fontId="32" fillId="13" borderId="33" xfId="0" applyFont="1" applyFill="1" applyBorder="1"/>
    <xf numFmtId="0" fontId="41" fillId="13" borderId="0" xfId="0" applyFont="1" applyFill="1"/>
    <xf numFmtId="0" fontId="0" fillId="0" borderId="21" xfId="0" applyBorder="1"/>
    <xf numFmtId="8" fontId="32" fillId="15" borderId="0" xfId="0" applyNumberFormat="1" applyFont="1" applyFill="1"/>
    <xf numFmtId="0" fontId="32" fillId="2" borderId="0" xfId="0" applyFont="1" applyFill="1"/>
    <xf numFmtId="165" fontId="35" fillId="13" borderId="0" xfId="0" applyNumberFormat="1" applyFont="1" applyFill="1"/>
    <xf numFmtId="14" fontId="33" fillId="13" borderId="0" xfId="0" applyNumberFormat="1" applyFont="1" applyFill="1"/>
    <xf numFmtId="14" fontId="32" fillId="13" borderId="0" xfId="0" applyNumberFormat="1" applyFont="1" applyFill="1"/>
    <xf numFmtId="0" fontId="42" fillId="14" borderId="0" xfId="0" applyFont="1" applyFill="1"/>
    <xf numFmtId="0" fontId="42" fillId="15" borderId="0" xfId="0" applyFont="1" applyFill="1"/>
    <xf numFmtId="0" fontId="30" fillId="2" borderId="0" xfId="0" applyFont="1" applyFill="1"/>
    <xf numFmtId="0" fontId="30" fillId="2" borderId="0" xfId="0" applyFont="1" applyFill="1" applyAlignment="1">
      <alignment horizontal="center"/>
    </xf>
    <xf numFmtId="0" fontId="32" fillId="14" borderId="0" xfId="0" applyFont="1" applyFill="1" applyAlignment="1">
      <alignment horizontal="right"/>
    </xf>
    <xf numFmtId="0" fontId="32" fillId="15" borderId="0" xfId="0" applyFont="1" applyFill="1" applyAlignment="1">
      <alignment horizontal="right"/>
    </xf>
    <xf numFmtId="0" fontId="32" fillId="0" borderId="0" xfId="2" applyNumberFormat="1" applyFont="1" applyBorder="1" applyAlignment="1">
      <alignment horizontal="left" vertical="top" wrapText="1"/>
    </xf>
    <xf numFmtId="0" fontId="32" fillId="0" borderId="22" xfId="2" applyNumberFormat="1" applyFont="1" applyBorder="1" applyAlignment="1">
      <alignment horizontal="left" vertical="top" wrapText="1"/>
    </xf>
    <xf numFmtId="0" fontId="32" fillId="0" borderId="17" xfId="2" applyNumberFormat="1" applyFont="1" applyBorder="1" applyAlignment="1">
      <alignment horizontal="left" vertical="top" wrapText="1"/>
    </xf>
    <xf numFmtId="0" fontId="32" fillId="0" borderId="24" xfId="2" applyNumberFormat="1" applyFont="1" applyBorder="1" applyAlignment="1">
      <alignment horizontal="left" vertical="top" wrapText="1"/>
    </xf>
    <xf numFmtId="0" fontId="34" fillId="0" borderId="21" xfId="0" applyFont="1" applyBorder="1" applyAlignment="1">
      <alignment horizontal="center" textRotation="90" wrapText="1"/>
    </xf>
    <xf numFmtId="0" fontId="34" fillId="0" borderId="0" xfId="0" applyFont="1" applyAlignment="1">
      <alignment horizontal="center"/>
    </xf>
    <xf numFmtId="0" fontId="30" fillId="19" borderId="0" xfId="0" applyFont="1" applyFill="1" applyAlignment="1">
      <alignment horizontal="left"/>
    </xf>
    <xf numFmtId="0" fontId="30" fillId="19" borderId="22" xfId="0" applyFont="1" applyFill="1" applyBorder="1" applyAlignment="1">
      <alignment horizontal="left"/>
    </xf>
    <xf numFmtId="10" fontId="30" fillId="19" borderId="21" xfId="0" applyNumberFormat="1" applyFont="1" applyFill="1" applyBorder="1" applyAlignment="1">
      <alignment horizontal="left"/>
    </xf>
    <xf numFmtId="0" fontId="30" fillId="19" borderId="21" xfId="0" applyFont="1" applyFill="1" applyBorder="1" applyAlignment="1">
      <alignment horizontal="left"/>
    </xf>
    <xf numFmtId="0" fontId="46" fillId="14" borderId="32" xfId="0" applyFont="1" applyFill="1" applyBorder="1" applyAlignment="1">
      <alignment horizontal="center"/>
    </xf>
    <xf numFmtId="0" fontId="46" fillId="15" borderId="32" xfId="0" applyFont="1" applyFill="1" applyBorder="1" applyAlignment="1">
      <alignment horizontal="center"/>
    </xf>
    <xf numFmtId="0" fontId="32" fillId="14" borderId="10" xfId="0" applyFont="1" applyFill="1" applyBorder="1" applyAlignment="1">
      <alignment horizontal="center"/>
    </xf>
    <xf numFmtId="0" fontId="38" fillId="13" borderId="7" xfId="0" applyFont="1" applyFill="1" applyBorder="1" applyAlignment="1">
      <alignment horizontal="center" vertical="center" wrapText="1"/>
    </xf>
    <xf numFmtId="0" fontId="38" fillId="13" borderId="0" xfId="0" applyFont="1" applyFill="1" applyAlignment="1">
      <alignment horizontal="center" vertical="center" wrapText="1"/>
    </xf>
    <xf numFmtId="0" fontId="38" fillId="13" borderId="10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wrapText="1" readingOrder="1"/>
    </xf>
    <xf numFmtId="0" fontId="14" fillId="5" borderId="8" xfId="0" applyFont="1" applyFill="1" applyBorder="1" applyAlignment="1">
      <alignment horizontal="center" wrapText="1" readingOrder="1"/>
    </xf>
    <xf numFmtId="0" fontId="14" fillId="5" borderId="7" xfId="0" applyFont="1" applyFill="1" applyBorder="1" applyAlignment="1">
      <alignment horizontal="center" wrapText="1" readingOrder="1"/>
    </xf>
    <xf numFmtId="0" fontId="4" fillId="5" borderId="1" xfId="0" applyFont="1" applyFill="1" applyBorder="1" applyAlignment="1">
      <alignment horizontal="left" wrapText="1" readingOrder="1"/>
    </xf>
    <xf numFmtId="0" fontId="4" fillId="5" borderId="7" xfId="0" applyFont="1" applyFill="1" applyBorder="1" applyAlignment="1">
      <alignment horizontal="left" wrapText="1" readingOrder="1"/>
    </xf>
  </cellXfs>
  <cellStyles count="21">
    <cellStyle name="% complete" xfId="14" xr:uid="{9D1F405A-6955-452E-9E23-F3181822F478}"/>
    <cellStyle name="% complete (beyond plan) legend" xfId="16" xr:uid="{3B81A14B-EC48-48A9-B0BC-447BE9E4B4D0}"/>
    <cellStyle name="Activity" xfId="19" xr:uid="{CD3FD77B-BA7B-4747-9FBD-AE9BF14D723B}"/>
    <cellStyle name="Actual (beyond plan) legend" xfId="15" xr:uid="{757C78E4-74FE-4791-838E-0EC365DB4794}"/>
    <cellStyle name="Actual legend" xfId="13" xr:uid="{54B706A6-23E2-44B5-958B-9D61B8646ECD}"/>
    <cellStyle name="Comma" xfId="1" builtinId="3"/>
    <cellStyle name="Currency" xfId="4" builtinId="4"/>
    <cellStyle name="Date" xfId="8" xr:uid="{4A4145A2-F67E-4AA0-BF8E-263A4AD8C6B2}"/>
    <cellStyle name="Hyperlink" xfId="3" builtinId="8"/>
    <cellStyle name="Label" xfId="12" xr:uid="{40988227-4EC5-4B6F-97AD-5602370C841B}"/>
    <cellStyle name="Normal" xfId="0" builtinId="0"/>
    <cellStyle name="Normal 2" xfId="5" xr:uid="{B8E03598-DE87-4F79-AABA-5742647A2B64}"/>
    <cellStyle name="Percent" xfId="2" builtinId="5"/>
    <cellStyle name="Percent 2" xfId="6" xr:uid="{557676E3-79A3-4F41-A3B2-3DC3FD0B83CD}"/>
    <cellStyle name="Percent Complete" xfId="20" xr:uid="{C1F9F07A-C442-420F-AC09-3FDFC5BC0437}"/>
    <cellStyle name="Period Headers" xfId="18" xr:uid="{6E8B10A9-0C59-4EA0-ADDB-5AF6AB034592}"/>
    <cellStyle name="Period Highlight Control" xfId="9" xr:uid="{2F091A2C-AF0E-4C8E-A04D-3384AD14D6E9}"/>
    <cellStyle name="Period Value" xfId="10" xr:uid="{9F4FAF17-82CC-4EEB-8C2E-16F3977E2026}"/>
    <cellStyle name="Plan legend" xfId="11" xr:uid="{14B3E948-2ED1-4A4F-B9F7-65EDFBB0810B}"/>
    <cellStyle name="Project Headers" xfId="17" xr:uid="{59FB07F7-C80B-46CE-9EA7-8E9C8D1D4490}"/>
    <cellStyle name="zHiddenText" xfId="7" xr:uid="{AA0F7650-E79C-449E-87FF-D0E214E228E0}"/>
  </cellStyles>
  <dxfs count="6">
    <dxf>
      <font>
        <color rgb="FF006100"/>
      </font>
      <fill>
        <patternFill>
          <bgColor rgb="FFC6EFCE"/>
        </patternFill>
      </fill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theme="1" tint="0.34998626667073579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Gantt Table Style" pivot="0" count="5" xr9:uid="{572D466C-6E18-4EA7-9A6A-A58713FE82B6}">
      <tableStyleElement type="wholeTable" dxfId="5"/>
      <tableStyleElement type="headerRow" dxfId="4"/>
      <tableStyleElement type="firstRowStripe" dxfId="3"/>
      <tableStyleElement type="firstColumnStripe" dxfId="2"/>
      <tableStyleElement type="secondColumnStripe" dxfId="1"/>
    </tableStyle>
  </tableStyles>
  <colors>
    <mruColors>
      <color rgb="FFE8E9EA"/>
      <color rgb="FF2130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Summary!$C$19</c:f>
              <c:strCache>
                <c:ptCount val="1"/>
                <c:pt idx="0">
                  <c:v>Start Date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Summary!$B$20:$B$27</c:f>
              <c:strCache>
                <c:ptCount val="8"/>
                <c:pt idx="0">
                  <c:v>Modular - Acquisition and Planning</c:v>
                </c:pt>
                <c:pt idx="1">
                  <c:v>Modular - Construction</c:v>
                </c:pt>
                <c:pt idx="2">
                  <c:v>Modular - Modular Manufacturing</c:v>
                </c:pt>
                <c:pt idx="3">
                  <c:v>Modular - Stabilization and Disposition</c:v>
                </c:pt>
                <c:pt idx="5">
                  <c:v>Traditional - Acquisition and Planning</c:v>
                </c:pt>
                <c:pt idx="6">
                  <c:v>Traditional - Construction</c:v>
                </c:pt>
                <c:pt idx="7">
                  <c:v>Traditional - Stabilization and Disposition</c:v>
                </c:pt>
              </c:strCache>
            </c:strRef>
          </c:cat>
          <c:val>
            <c:numRef>
              <c:f>Summary!$C$20:$C$27</c:f>
              <c:numCache>
                <c:formatCode>m/d/yy</c:formatCode>
                <c:ptCount val="8"/>
                <c:pt idx="0">
                  <c:v>45292</c:v>
                </c:pt>
                <c:pt idx="1">
                  <c:v>45383</c:v>
                </c:pt>
                <c:pt idx="2">
                  <c:v>45413</c:v>
                </c:pt>
                <c:pt idx="3">
                  <c:v>45748</c:v>
                </c:pt>
                <c:pt idx="5">
                  <c:v>45292</c:v>
                </c:pt>
                <c:pt idx="6">
                  <c:v>45474</c:v>
                </c:pt>
                <c:pt idx="7">
                  <c:v>46082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E-4142-92D9-3D7B76C3A656}"/>
            </c:ext>
          </c:extLst>
        </c:ser>
        <c:ser>
          <c:idx val="1"/>
          <c:order val="1"/>
          <c:tx>
            <c:strRef>
              <c:f>Summary!$E$19</c:f>
              <c:strCache>
                <c:ptCount val="1"/>
                <c:pt idx="0">
                  <c:v>Duration in Days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ACE-4142-92D9-3D7B76C3A656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CE-4142-92D9-3D7B76C3A656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ACE-4142-92D9-3D7B76C3A656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ACE-4142-92D9-3D7B76C3A65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AACE-4142-92D9-3D7B76C3A65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AACE-4142-92D9-3D7B76C3A65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AACE-4142-92D9-3D7B76C3A656}"/>
              </c:ext>
            </c:extLst>
          </c:dPt>
          <c:val>
            <c:numRef>
              <c:f>Summary!$E$20:$E$27</c:f>
              <c:numCache>
                <c:formatCode>General</c:formatCode>
                <c:ptCount val="8"/>
                <c:pt idx="0">
                  <c:v>91.311000000000007</c:v>
                </c:pt>
                <c:pt idx="1">
                  <c:v>365.24400000000003</c:v>
                </c:pt>
                <c:pt idx="2">
                  <c:v>152.185</c:v>
                </c:pt>
                <c:pt idx="3">
                  <c:v>365.24400000000003</c:v>
                </c:pt>
                <c:pt idx="5">
                  <c:v>182.62200000000001</c:v>
                </c:pt>
                <c:pt idx="6">
                  <c:v>608.74</c:v>
                </c:pt>
                <c:pt idx="7">
                  <c:v>365.24400000000003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ACE-4142-92D9-3D7B76C3A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16967104"/>
        <c:axId val="2016967584"/>
      </c:barChart>
      <c:catAx>
        <c:axId val="20169671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6967584"/>
        <c:crosses val="autoZero"/>
        <c:auto val="1"/>
        <c:lblAlgn val="ctr"/>
        <c:lblOffset val="100"/>
        <c:noMultiLvlLbl val="0"/>
      </c:catAx>
      <c:valAx>
        <c:axId val="2016967584"/>
        <c:scaling>
          <c:orientation val="minMax"/>
          <c:min val="45292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6967104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Graphics!$B$10</c:f>
              <c:strCache>
                <c:ptCount val="1"/>
                <c:pt idx="0">
                  <c:v>Modular</c:v>
                </c:pt>
              </c:strCache>
            </c:strRef>
          </c:tx>
          <c:spPr>
            <a:ln w="38100" cap="flat" cmpd="dbl" algn="ctr">
              <a:solidFill>
                <a:schemeClr val="bg2">
                  <a:lumMod val="5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numRef>
              <c:f>Graphics!$C$9:$AO$9</c:f>
              <c:numCache>
                <c:formatCode>General</c:formatCode>
                <c:ptCount val="3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</c:numCache>
            </c:numRef>
          </c:cat>
          <c:val>
            <c:numRef>
              <c:f>Graphics!$C$10:$AO$10</c:f>
              <c:numCache>
                <c:formatCode>_("$"* #,##0_);_("$"* \(#,##0\);_("$"* "-"??_);_(@_)</c:formatCode>
                <c:ptCount val="39"/>
                <c:pt idx="0">
                  <c:v>5530078.7713232376</c:v>
                </c:pt>
                <c:pt idx="1">
                  <c:v>5776953.7713232376</c:v>
                </c:pt>
                <c:pt idx="2">
                  <c:v>6023828.7713232376</c:v>
                </c:pt>
                <c:pt idx="3">
                  <c:v>6270703.7713232376</c:v>
                </c:pt>
                <c:pt idx="4">
                  <c:v>8017578.7713232376</c:v>
                </c:pt>
                <c:pt idx="5">
                  <c:v>14264453.771323238</c:v>
                </c:pt>
                <c:pt idx="6">
                  <c:v>18711328.771323238</c:v>
                </c:pt>
                <c:pt idx="7">
                  <c:v>23186914.860543407</c:v>
                </c:pt>
                <c:pt idx="8">
                  <c:v>27692538.44030983</c:v>
                </c:pt>
                <c:pt idx="9">
                  <c:v>32228401.104518685</c:v>
                </c:pt>
                <c:pt idx="10">
                  <c:v>36794705.800045326</c:v>
                </c:pt>
                <c:pt idx="11">
                  <c:v>38673536.030455537</c:v>
                </c:pt>
                <c:pt idx="12">
                  <c:v>40564975.859741725</c:v>
                </c:pt>
                <c:pt idx="13">
                  <c:v>42469109.916084163</c:v>
                </c:pt>
                <c:pt idx="14">
                  <c:v>44386023.39563749</c:v>
                </c:pt>
                <c:pt idx="15">
                  <c:v>46315802.066342615</c:v>
                </c:pt>
                <c:pt idx="16">
                  <c:v>46481968.302444942</c:v>
                </c:pt>
                <c:pt idx="17">
                  <c:v>46631284.77216851</c:v>
                </c:pt>
                <c:pt idx="18">
                  <c:v>46763638.389832824</c:v>
                </c:pt>
                <c:pt idx="19">
                  <c:v>46878915.310793094</c:v>
                </c:pt>
                <c:pt idx="20">
                  <c:v>46977000.926346503</c:v>
                </c:pt>
                <c:pt idx="21">
                  <c:v>47057779.858604312</c:v>
                </c:pt>
                <c:pt idx="22">
                  <c:v>47121135.955329537</c:v>
                </c:pt>
                <c:pt idx="23">
                  <c:v>47166952.284739979</c:v>
                </c:pt>
                <c:pt idx="24">
                  <c:v>47195111.130276375</c:v>
                </c:pt>
                <c:pt idx="25">
                  <c:v>47200628.501224242</c:v>
                </c:pt>
                <c:pt idx="26">
                  <c:v>47200628.501224242</c:v>
                </c:pt>
                <c:pt idx="27">
                  <c:v>47200628.501224242</c:v>
                </c:pt>
                <c:pt idx="28">
                  <c:v>47200628.501224242</c:v>
                </c:pt>
                <c:pt idx="29">
                  <c:v>47200628.501224242</c:v>
                </c:pt>
                <c:pt idx="30">
                  <c:v>47200628.501224242</c:v>
                </c:pt>
                <c:pt idx="31">
                  <c:v>47200628.501224242</c:v>
                </c:pt>
                <c:pt idx="32">
                  <c:v>47200628.501224242</c:v>
                </c:pt>
                <c:pt idx="33">
                  <c:v>47200628.501224242</c:v>
                </c:pt>
                <c:pt idx="34">
                  <c:v>47200628.501224242</c:v>
                </c:pt>
                <c:pt idx="35">
                  <c:v>47200628.501224242</c:v>
                </c:pt>
                <c:pt idx="36">
                  <c:v>47200628.501224242</c:v>
                </c:pt>
                <c:pt idx="37">
                  <c:v>47200628.501224242</c:v>
                </c:pt>
                <c:pt idx="38">
                  <c:v>47200628.501224242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C3-4B73-8D38-C22572AB4507}"/>
            </c:ext>
          </c:extLst>
        </c:ser>
        <c:ser>
          <c:idx val="1"/>
          <c:order val="1"/>
          <c:tx>
            <c:strRef>
              <c:f>Graphics!$B$11</c:f>
              <c:strCache>
                <c:ptCount val="1"/>
                <c:pt idx="0">
                  <c:v>Traditional</c:v>
                </c:pt>
              </c:strCache>
            </c:strRef>
          </c:tx>
          <c:spPr>
            <a:ln w="38100" cap="flat" cmpd="dbl" algn="ctr">
              <a:solidFill>
                <a:schemeClr val="accent1">
                  <a:lumMod val="60000"/>
                  <a:lumOff val="4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numRef>
              <c:f>Graphics!$C$9:$AO$9</c:f>
              <c:numCache>
                <c:formatCode>General</c:formatCode>
                <c:ptCount val="3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</c:numCache>
            </c:numRef>
          </c:cat>
          <c:val>
            <c:numRef>
              <c:f>Graphics!$C$11:$AO$11</c:f>
              <c:numCache>
                <c:formatCode>_("$"* #,##0_);_("$"* \(#,##0\);_("$"* "-"??_);_(@_)</c:formatCode>
                <c:ptCount val="39"/>
                <c:pt idx="0">
                  <c:v>5433879.4973881869</c:v>
                </c:pt>
                <c:pt idx="1">
                  <c:v>5582768.3862770759</c:v>
                </c:pt>
                <c:pt idx="2">
                  <c:v>5731657.2751659648</c:v>
                </c:pt>
                <c:pt idx="3">
                  <c:v>5880546.1640548538</c:v>
                </c:pt>
                <c:pt idx="4">
                  <c:v>6029435.0529437428</c:v>
                </c:pt>
                <c:pt idx="5">
                  <c:v>6178323.9418326318</c:v>
                </c:pt>
                <c:pt idx="6">
                  <c:v>6327212.8307215208</c:v>
                </c:pt>
                <c:pt idx="7">
                  <c:v>8276101.7196104098</c:v>
                </c:pt>
                <c:pt idx="8">
                  <c:v>10224990.6084993</c:v>
                </c:pt>
                <c:pt idx="9">
                  <c:v>12173879.497388188</c:v>
                </c:pt>
                <c:pt idx="10">
                  <c:v>14122768.386277076</c:v>
                </c:pt>
                <c:pt idx="11">
                  <c:v>16071657.275165964</c:v>
                </c:pt>
                <c:pt idx="12">
                  <c:v>18020546.164054852</c:v>
                </c:pt>
                <c:pt idx="13">
                  <c:v>19975945.360196587</c:v>
                </c:pt>
                <c:pt idx="14">
                  <c:v>21944468.049748026</c:v>
                </c:pt>
                <c:pt idx="15">
                  <c:v>23926202.309707761</c:v>
                </c:pt>
                <c:pt idx="16">
                  <c:v>25921236.808196269</c:v>
                </c:pt>
                <c:pt idx="17">
                  <c:v>27929660.808423169</c:v>
                </c:pt>
                <c:pt idx="18">
                  <c:v>29951564.172681108</c:v>
                </c:pt>
                <c:pt idx="19">
                  <c:v>31987037.366366446</c:v>
                </c:pt>
                <c:pt idx="20">
                  <c:v>34036171.462026931</c:v>
                </c:pt>
                <c:pt idx="21">
                  <c:v>36099058.143436536</c:v>
                </c:pt>
                <c:pt idx="22">
                  <c:v>38175789.709697649</c:v>
                </c:pt>
                <c:pt idx="23">
                  <c:v>40266459.079370782</c:v>
                </c:pt>
                <c:pt idx="24">
                  <c:v>42371159.79463201</c:v>
                </c:pt>
                <c:pt idx="25">
                  <c:v>44489986.025458306</c:v>
                </c:pt>
                <c:pt idx="26">
                  <c:v>46623032.573840976</c:v>
                </c:pt>
                <c:pt idx="27">
                  <c:v>46789974.67448388</c:v>
                </c:pt>
                <c:pt idx="28">
                  <c:v>46939585.675488003</c:v>
                </c:pt>
                <c:pt idx="29">
                  <c:v>47071749.260624945</c:v>
                </c:pt>
                <c:pt idx="30">
                  <c:v>47186348.333021529</c:v>
                </c:pt>
                <c:pt idx="31">
                  <c:v>47283265.00992056</c:v>
                </c:pt>
                <c:pt idx="32">
                  <c:v>47362380.617406435</c:v>
                </c:pt>
                <c:pt idx="33">
                  <c:v>47423575.685095355</c:v>
                </c:pt>
                <c:pt idx="34">
                  <c:v>47466729.940789893</c:v>
                </c:pt>
                <c:pt idx="35">
                  <c:v>47491722.305097692</c:v>
                </c:pt>
                <c:pt idx="36">
                  <c:v>47498430.886014044</c:v>
                </c:pt>
                <c:pt idx="37">
                  <c:v>47498430.886014044</c:v>
                </c:pt>
                <c:pt idx="38">
                  <c:v>47498430.886014044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C3-4B73-8D38-C22572AB4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5921247"/>
        <c:axId val="1705935167"/>
      </c:lineChart>
      <c:catAx>
        <c:axId val="1705921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5935167"/>
        <c:crosses val="autoZero"/>
        <c:auto val="1"/>
        <c:lblAlgn val="ctr"/>
        <c:lblOffset val="100"/>
        <c:tickMarkSkip val="1"/>
        <c:noMultiLvlLbl val="0"/>
      </c:catAx>
      <c:valAx>
        <c:axId val="1705935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5921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dEVELOPMENT SPEND OVER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Graphics!$B$10</c:f>
              <c:strCache>
                <c:ptCount val="1"/>
                <c:pt idx="0">
                  <c:v>Modular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Graphics!$C$9:$AO$9</c:f>
              <c:numCache>
                <c:formatCode>General</c:formatCode>
                <c:ptCount val="3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</c:numCache>
            </c:numRef>
          </c:cat>
          <c:val>
            <c:numRef>
              <c:f>Graphics!$C$10:$AO$10</c:f>
              <c:numCache>
                <c:formatCode>_("$"* #,##0_);_("$"* \(#,##0\);_("$"* "-"??_);_(@_)</c:formatCode>
                <c:ptCount val="39"/>
                <c:pt idx="0">
                  <c:v>5530078.7713232376</c:v>
                </c:pt>
                <c:pt idx="1">
                  <c:v>5776953.7713232376</c:v>
                </c:pt>
                <c:pt idx="2">
                  <c:v>6023828.7713232376</c:v>
                </c:pt>
                <c:pt idx="3">
                  <c:v>6270703.7713232376</c:v>
                </c:pt>
                <c:pt idx="4">
                  <c:v>8017578.7713232376</c:v>
                </c:pt>
                <c:pt idx="5">
                  <c:v>14264453.771323238</c:v>
                </c:pt>
                <c:pt idx="6">
                  <c:v>18711328.771323238</c:v>
                </c:pt>
                <c:pt idx="7">
                  <c:v>23186914.860543407</c:v>
                </c:pt>
                <c:pt idx="8">
                  <c:v>27692538.44030983</c:v>
                </c:pt>
                <c:pt idx="9">
                  <c:v>32228401.104518685</c:v>
                </c:pt>
                <c:pt idx="10">
                  <c:v>36794705.800045326</c:v>
                </c:pt>
                <c:pt idx="11">
                  <c:v>38673536.030455537</c:v>
                </c:pt>
                <c:pt idx="12">
                  <c:v>40564975.859741725</c:v>
                </c:pt>
                <c:pt idx="13">
                  <c:v>42469109.916084163</c:v>
                </c:pt>
                <c:pt idx="14">
                  <c:v>44386023.39563749</c:v>
                </c:pt>
                <c:pt idx="15">
                  <c:v>46315802.066342615</c:v>
                </c:pt>
                <c:pt idx="16">
                  <c:v>46481968.302444942</c:v>
                </c:pt>
                <c:pt idx="17">
                  <c:v>46631284.77216851</c:v>
                </c:pt>
                <c:pt idx="18">
                  <c:v>46763638.389832824</c:v>
                </c:pt>
                <c:pt idx="19">
                  <c:v>46878915.310793094</c:v>
                </c:pt>
                <c:pt idx="20">
                  <c:v>46977000.926346503</c:v>
                </c:pt>
                <c:pt idx="21">
                  <c:v>47057779.858604312</c:v>
                </c:pt>
                <c:pt idx="22">
                  <c:v>47121135.955329537</c:v>
                </c:pt>
                <c:pt idx="23">
                  <c:v>47166952.284739979</c:v>
                </c:pt>
                <c:pt idx="24">
                  <c:v>47195111.130276375</c:v>
                </c:pt>
                <c:pt idx="25">
                  <c:v>47200628.501224242</c:v>
                </c:pt>
                <c:pt idx="26">
                  <c:v>47200628.501224242</c:v>
                </c:pt>
                <c:pt idx="27">
                  <c:v>47200628.501224242</c:v>
                </c:pt>
                <c:pt idx="28">
                  <c:v>47200628.501224242</c:v>
                </c:pt>
                <c:pt idx="29">
                  <c:v>47200628.501224242</c:v>
                </c:pt>
                <c:pt idx="30">
                  <c:v>47200628.501224242</c:v>
                </c:pt>
                <c:pt idx="31">
                  <c:v>47200628.501224242</c:v>
                </c:pt>
                <c:pt idx="32">
                  <c:v>47200628.501224242</c:v>
                </c:pt>
                <c:pt idx="33">
                  <c:v>47200628.501224242</c:v>
                </c:pt>
                <c:pt idx="34">
                  <c:v>47200628.501224242</c:v>
                </c:pt>
                <c:pt idx="35">
                  <c:v>47200628.501224242</c:v>
                </c:pt>
                <c:pt idx="36">
                  <c:v>47200628.501224242</c:v>
                </c:pt>
                <c:pt idx="37">
                  <c:v>47200628.501224242</c:v>
                </c:pt>
                <c:pt idx="38">
                  <c:v>47200628.501224242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7C-4AA4-A6AF-5A5E0A6547D1}"/>
            </c:ext>
          </c:extLst>
        </c:ser>
        <c:ser>
          <c:idx val="1"/>
          <c:order val="1"/>
          <c:tx>
            <c:strRef>
              <c:f>Graphics!$B$11</c:f>
              <c:strCache>
                <c:ptCount val="1"/>
                <c:pt idx="0">
                  <c:v>Traditional</c:v>
                </c:pt>
              </c:strCache>
            </c:strRef>
          </c:tx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none"/>
          </c:marker>
          <c:cat>
            <c:numRef>
              <c:f>Graphics!$C$9:$AO$9</c:f>
              <c:numCache>
                <c:formatCode>General</c:formatCode>
                <c:ptCount val="3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</c:numCache>
            </c:numRef>
          </c:cat>
          <c:val>
            <c:numRef>
              <c:f>Graphics!$C$11:$AO$11</c:f>
              <c:numCache>
                <c:formatCode>_("$"* #,##0_);_("$"* \(#,##0\);_("$"* "-"??_);_(@_)</c:formatCode>
                <c:ptCount val="39"/>
                <c:pt idx="0">
                  <c:v>5433879.4973881869</c:v>
                </c:pt>
                <c:pt idx="1">
                  <c:v>5582768.3862770759</c:v>
                </c:pt>
                <c:pt idx="2">
                  <c:v>5731657.2751659648</c:v>
                </c:pt>
                <c:pt idx="3">
                  <c:v>5880546.1640548538</c:v>
                </c:pt>
                <c:pt idx="4">
                  <c:v>6029435.0529437428</c:v>
                </c:pt>
                <c:pt idx="5">
                  <c:v>6178323.9418326318</c:v>
                </c:pt>
                <c:pt idx="6">
                  <c:v>6327212.8307215208</c:v>
                </c:pt>
                <c:pt idx="7">
                  <c:v>8276101.7196104098</c:v>
                </c:pt>
                <c:pt idx="8">
                  <c:v>10224990.6084993</c:v>
                </c:pt>
                <c:pt idx="9">
                  <c:v>12173879.497388188</c:v>
                </c:pt>
                <c:pt idx="10">
                  <c:v>14122768.386277076</c:v>
                </c:pt>
                <c:pt idx="11">
                  <c:v>16071657.275165964</c:v>
                </c:pt>
                <c:pt idx="12">
                  <c:v>18020546.164054852</c:v>
                </c:pt>
                <c:pt idx="13">
                  <c:v>19975945.360196587</c:v>
                </c:pt>
                <c:pt idx="14">
                  <c:v>21944468.049748026</c:v>
                </c:pt>
                <c:pt idx="15">
                  <c:v>23926202.309707761</c:v>
                </c:pt>
                <c:pt idx="16">
                  <c:v>25921236.808196269</c:v>
                </c:pt>
                <c:pt idx="17">
                  <c:v>27929660.808423169</c:v>
                </c:pt>
                <c:pt idx="18">
                  <c:v>29951564.172681108</c:v>
                </c:pt>
                <c:pt idx="19">
                  <c:v>31987037.366366446</c:v>
                </c:pt>
                <c:pt idx="20">
                  <c:v>34036171.462026931</c:v>
                </c:pt>
                <c:pt idx="21">
                  <c:v>36099058.143436536</c:v>
                </c:pt>
                <c:pt idx="22">
                  <c:v>38175789.709697649</c:v>
                </c:pt>
                <c:pt idx="23">
                  <c:v>40266459.079370782</c:v>
                </c:pt>
                <c:pt idx="24">
                  <c:v>42371159.79463201</c:v>
                </c:pt>
                <c:pt idx="25">
                  <c:v>44489986.025458306</c:v>
                </c:pt>
                <c:pt idx="26">
                  <c:v>46623032.573840976</c:v>
                </c:pt>
                <c:pt idx="27">
                  <c:v>46789974.67448388</c:v>
                </c:pt>
                <c:pt idx="28">
                  <c:v>46939585.675488003</c:v>
                </c:pt>
                <c:pt idx="29">
                  <c:v>47071749.260624945</c:v>
                </c:pt>
                <c:pt idx="30">
                  <c:v>47186348.333021529</c:v>
                </c:pt>
                <c:pt idx="31">
                  <c:v>47283265.00992056</c:v>
                </c:pt>
                <c:pt idx="32">
                  <c:v>47362380.617406435</c:v>
                </c:pt>
                <c:pt idx="33">
                  <c:v>47423575.685095355</c:v>
                </c:pt>
                <c:pt idx="34">
                  <c:v>47466729.940789893</c:v>
                </c:pt>
                <c:pt idx="35">
                  <c:v>47491722.305097692</c:v>
                </c:pt>
                <c:pt idx="36">
                  <c:v>47498430.886014044</c:v>
                </c:pt>
                <c:pt idx="37">
                  <c:v>47498430.886014044</c:v>
                </c:pt>
                <c:pt idx="38">
                  <c:v>47498430.886014044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7C-4AA4-A6AF-5A5E0A654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5921247"/>
        <c:axId val="1705935167"/>
      </c:lineChart>
      <c:catAx>
        <c:axId val="1705921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5935167"/>
        <c:crosses val="autoZero"/>
        <c:auto val="1"/>
        <c:lblAlgn val="ctr"/>
        <c:lblOffset val="100"/>
        <c:tickMarkSkip val="1"/>
        <c:noMultiLvlLbl val="0"/>
      </c:catAx>
      <c:valAx>
        <c:axId val="1705935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5921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Cash Flows Over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Graphics!$B$40</c:f>
              <c:strCache>
                <c:ptCount val="1"/>
                <c:pt idx="0">
                  <c:v>Modular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val>
            <c:numRef>
              <c:f>Graphics!$C$40:$BJ$40</c:f>
              <c:numCache>
                <c:formatCode>_("$"* #,##0_);_("$"* \(#,##0\);_("$"* "-"??_);_(@_)</c:formatCode>
                <c:ptCount val="60"/>
                <c:pt idx="0">
                  <c:v>-5246875</c:v>
                </c:pt>
                <c:pt idx="1">
                  <c:v>-5493750</c:v>
                </c:pt>
                <c:pt idx="2">
                  <c:v>-5740625</c:v>
                </c:pt>
                <c:pt idx="3">
                  <c:v>-5987500</c:v>
                </c:pt>
                <c:pt idx="4">
                  <c:v>-7734375</c:v>
                </c:pt>
                <c:pt idx="5">
                  <c:v>-13981250</c:v>
                </c:pt>
                <c:pt idx="6">
                  <c:v>-18428125</c:v>
                </c:pt>
                <c:pt idx="7">
                  <c:v>-22875000</c:v>
                </c:pt>
                <c:pt idx="8">
                  <c:v>-27321875</c:v>
                </c:pt>
                <c:pt idx="9">
                  <c:v>-31768750</c:v>
                </c:pt>
                <c:pt idx="10">
                  <c:v>-36215625</c:v>
                </c:pt>
                <c:pt idx="11">
                  <c:v>-37962500</c:v>
                </c:pt>
                <c:pt idx="12">
                  <c:v>-39709375</c:v>
                </c:pt>
                <c:pt idx="13">
                  <c:v>-41456250</c:v>
                </c:pt>
                <c:pt idx="14">
                  <c:v>-43203125</c:v>
                </c:pt>
                <c:pt idx="15">
                  <c:v>-44950000</c:v>
                </c:pt>
                <c:pt idx="16">
                  <c:v>-44932154.790476188</c:v>
                </c:pt>
                <c:pt idx="17">
                  <c:v>-44896464.371428572</c:v>
                </c:pt>
                <c:pt idx="18">
                  <c:v>-44842928.742857143</c:v>
                </c:pt>
                <c:pt idx="19">
                  <c:v>-44771547.904761903</c:v>
                </c:pt>
                <c:pt idx="20">
                  <c:v>-44682321.857142858</c:v>
                </c:pt>
                <c:pt idx="21">
                  <c:v>-44575250.600000001</c:v>
                </c:pt>
                <c:pt idx="22">
                  <c:v>-44450334.133333333</c:v>
                </c:pt>
                <c:pt idx="23">
                  <c:v>-44307572.45714286</c:v>
                </c:pt>
                <c:pt idx="24">
                  <c:v>-44146965.571428575</c:v>
                </c:pt>
                <c:pt idx="25">
                  <c:v>-43963680.438452385</c:v>
                </c:pt>
                <c:pt idx="26">
                  <c:v>-43762066.792178579</c:v>
                </c:pt>
                <c:pt idx="27">
                  <c:v>9046398.4334859699</c:v>
                </c:pt>
                <c:pt idx="28">
                  <c:v>9046398.4334859699</c:v>
                </c:pt>
                <c:pt idx="29">
                  <c:v>9046398.4334859699</c:v>
                </c:pt>
                <c:pt idx="30">
                  <c:v>9046398.4334859699</c:v>
                </c:pt>
                <c:pt idx="31">
                  <c:v>9046398.4334859699</c:v>
                </c:pt>
                <c:pt idx="32">
                  <c:v>9046398.4334859699</c:v>
                </c:pt>
                <c:pt idx="33">
                  <c:v>9046398.4334859699</c:v>
                </c:pt>
                <c:pt idx="34">
                  <c:v>9046398.4334859699</c:v>
                </c:pt>
                <c:pt idx="35">
                  <c:v>9046398.4334859699</c:v>
                </c:pt>
                <c:pt idx="36">
                  <c:v>9046398.4334859699</c:v>
                </c:pt>
                <c:pt idx="37">
                  <c:v>9046398.4334859699</c:v>
                </c:pt>
                <c:pt idx="38">
                  <c:v>9046398.4334859699</c:v>
                </c:pt>
                <c:pt idx="39">
                  <c:v>9046398.4334859699</c:v>
                </c:pt>
                <c:pt idx="40">
                  <c:v>9046398.4334859699</c:v>
                </c:pt>
                <c:pt idx="41">
                  <c:v>9046398.4334859699</c:v>
                </c:pt>
                <c:pt idx="42">
                  <c:v>9046398.4334859699</c:v>
                </c:pt>
                <c:pt idx="43">
                  <c:v>9046398.4334859699</c:v>
                </c:pt>
                <c:pt idx="44">
                  <c:v>9046398.4334859699</c:v>
                </c:pt>
                <c:pt idx="45">
                  <c:v>9046398.4334859699</c:v>
                </c:pt>
                <c:pt idx="46">
                  <c:v>9046398.4334859699</c:v>
                </c:pt>
                <c:pt idx="47">
                  <c:v>9046398.4334859699</c:v>
                </c:pt>
                <c:pt idx="48">
                  <c:v>9046398.4334859699</c:v>
                </c:pt>
                <c:pt idx="49">
                  <c:v>9046398.4334859699</c:v>
                </c:pt>
                <c:pt idx="50">
                  <c:v>9046398.4334859699</c:v>
                </c:pt>
                <c:pt idx="51">
                  <c:v>9046398.4334859699</c:v>
                </c:pt>
                <c:pt idx="52">
                  <c:v>9046398.4334859699</c:v>
                </c:pt>
                <c:pt idx="53">
                  <c:v>9046398.4334859699</c:v>
                </c:pt>
                <c:pt idx="54">
                  <c:v>9046398.4334859699</c:v>
                </c:pt>
                <c:pt idx="55">
                  <c:v>9046398.4334859699</c:v>
                </c:pt>
                <c:pt idx="56">
                  <c:v>9046398.4334859699</c:v>
                </c:pt>
                <c:pt idx="57">
                  <c:v>9046398.4334859699</c:v>
                </c:pt>
                <c:pt idx="58">
                  <c:v>9046398.4334859699</c:v>
                </c:pt>
                <c:pt idx="59">
                  <c:v>9046398.4334859699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37-4276-986B-05CAD921606A}"/>
            </c:ext>
          </c:extLst>
        </c:ser>
        <c:ser>
          <c:idx val="1"/>
          <c:order val="1"/>
          <c:tx>
            <c:strRef>
              <c:f>Graphics!$B$41</c:f>
              <c:strCache>
                <c:ptCount val="1"/>
                <c:pt idx="0">
                  <c:v>Traditional</c:v>
                </c:pt>
              </c:strCache>
            </c:strRef>
          </c:tx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none"/>
          </c:marker>
          <c:val>
            <c:numRef>
              <c:f>Graphics!$C$41:$BJ$41</c:f>
              <c:numCache>
                <c:formatCode>_("$"* #,##0_);_("$"* \(#,##0\);_("$"* "-"??_);_(@_)</c:formatCode>
                <c:ptCount val="60"/>
                <c:pt idx="0">
                  <c:v>-5148888.888888889</c:v>
                </c:pt>
                <c:pt idx="1">
                  <c:v>-5297777.777777778</c:v>
                </c:pt>
                <c:pt idx="2">
                  <c:v>-5446666.666666667</c:v>
                </c:pt>
                <c:pt idx="3">
                  <c:v>-5595555.555555556</c:v>
                </c:pt>
                <c:pt idx="4">
                  <c:v>-5744444.444444445</c:v>
                </c:pt>
                <c:pt idx="5">
                  <c:v>-5893333.333333334</c:v>
                </c:pt>
                <c:pt idx="6">
                  <c:v>-6042222.2222222229</c:v>
                </c:pt>
                <c:pt idx="7">
                  <c:v>-7991111.1111111119</c:v>
                </c:pt>
                <c:pt idx="8">
                  <c:v>-9940000</c:v>
                </c:pt>
                <c:pt idx="9">
                  <c:v>-11888888.888888888</c:v>
                </c:pt>
                <c:pt idx="10">
                  <c:v>-13837777.777777776</c:v>
                </c:pt>
                <c:pt idx="11">
                  <c:v>-15786666.666666664</c:v>
                </c:pt>
                <c:pt idx="12">
                  <c:v>-17735555.555555552</c:v>
                </c:pt>
                <c:pt idx="13">
                  <c:v>-19684444.44444444</c:v>
                </c:pt>
                <c:pt idx="14">
                  <c:v>-21633333.333333328</c:v>
                </c:pt>
                <c:pt idx="15">
                  <c:v>-23582222.222222216</c:v>
                </c:pt>
                <c:pt idx="16">
                  <c:v>-25531111.111111104</c:v>
                </c:pt>
                <c:pt idx="17">
                  <c:v>-27479999.999999993</c:v>
                </c:pt>
                <c:pt idx="18">
                  <c:v>-29428888.888888881</c:v>
                </c:pt>
                <c:pt idx="19">
                  <c:v>-31377777.777777769</c:v>
                </c:pt>
                <c:pt idx="20">
                  <c:v>-33326666.666666657</c:v>
                </c:pt>
                <c:pt idx="21">
                  <c:v>-35275555.555555545</c:v>
                </c:pt>
                <c:pt idx="22">
                  <c:v>-37224444.444444433</c:v>
                </c:pt>
                <c:pt idx="23">
                  <c:v>-39173333.333333321</c:v>
                </c:pt>
                <c:pt idx="24">
                  <c:v>-41122222.222222209</c:v>
                </c:pt>
                <c:pt idx="25">
                  <c:v>-43071111.111111097</c:v>
                </c:pt>
                <c:pt idx="26">
                  <c:v>-45019999.999999985</c:v>
                </c:pt>
                <c:pt idx="27">
                  <c:v>-45001671.486702368</c:v>
                </c:pt>
                <c:pt idx="28">
                  <c:v>-44965014.460107133</c:v>
                </c:pt>
                <c:pt idx="29">
                  <c:v>-44910028.920214273</c:v>
                </c:pt>
                <c:pt idx="30">
                  <c:v>-44836714.867023796</c:v>
                </c:pt>
                <c:pt idx="31">
                  <c:v>-44745072.300535701</c:v>
                </c:pt>
                <c:pt idx="32">
                  <c:v>-44635101.220749989</c:v>
                </c:pt>
                <c:pt idx="33">
                  <c:v>-44506801.627666652</c:v>
                </c:pt>
                <c:pt idx="34">
                  <c:v>-44360173.521285698</c:v>
                </c:pt>
                <c:pt idx="35">
                  <c:v>-44195216.901607126</c:v>
                </c:pt>
                <c:pt idx="36">
                  <c:v>-44011931.768630937</c:v>
                </c:pt>
                <c:pt idx="37">
                  <c:v>-43804860.694129571</c:v>
                </c:pt>
                <c:pt idx="38">
                  <c:v>10432314.614395775</c:v>
                </c:pt>
                <c:pt idx="39">
                  <c:v>10432314.614395775</c:v>
                </c:pt>
                <c:pt idx="40">
                  <c:v>10432314.614395775</c:v>
                </c:pt>
                <c:pt idx="41">
                  <c:v>10432314.614395775</c:v>
                </c:pt>
                <c:pt idx="42">
                  <c:v>10432314.614395775</c:v>
                </c:pt>
                <c:pt idx="43">
                  <c:v>10432314.614395775</c:v>
                </c:pt>
                <c:pt idx="44">
                  <c:v>10432314.614395775</c:v>
                </c:pt>
                <c:pt idx="45">
                  <c:v>10432314.614395775</c:v>
                </c:pt>
                <c:pt idx="46">
                  <c:v>10432314.614395775</c:v>
                </c:pt>
                <c:pt idx="47">
                  <c:v>10432314.614395775</c:v>
                </c:pt>
                <c:pt idx="48">
                  <c:v>10432314.614395775</c:v>
                </c:pt>
                <c:pt idx="49">
                  <c:v>10432314.614395775</c:v>
                </c:pt>
                <c:pt idx="50">
                  <c:v>10432314.614395775</c:v>
                </c:pt>
                <c:pt idx="51">
                  <c:v>10432314.614395775</c:v>
                </c:pt>
                <c:pt idx="52">
                  <c:v>10432314.614395775</c:v>
                </c:pt>
                <c:pt idx="53">
                  <c:v>10432314.614395775</c:v>
                </c:pt>
                <c:pt idx="54">
                  <c:v>10432314.614395775</c:v>
                </c:pt>
                <c:pt idx="55">
                  <c:v>10432314.614395775</c:v>
                </c:pt>
                <c:pt idx="56">
                  <c:v>10432314.614395775</c:v>
                </c:pt>
                <c:pt idx="57">
                  <c:v>10432314.614395775</c:v>
                </c:pt>
                <c:pt idx="58">
                  <c:v>10432314.614395775</c:v>
                </c:pt>
                <c:pt idx="59">
                  <c:v>10432314.614395775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37-4276-986B-05CAD9216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2000527"/>
        <c:axId val="1952013007"/>
      </c:lineChart>
      <c:catAx>
        <c:axId val="1952000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2013007"/>
        <c:crosses val="autoZero"/>
        <c:auto val="1"/>
        <c:lblAlgn val="ctr"/>
        <c:lblOffset val="100"/>
        <c:noMultiLvlLbl val="0"/>
      </c:catAx>
      <c:valAx>
        <c:axId val="195201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2000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53916</xdr:colOff>
      <xdr:row>7</xdr:row>
      <xdr:rowOff>38100</xdr:rowOff>
    </xdr:from>
    <xdr:to>
      <xdr:col>20</xdr:col>
      <xdr:colOff>361950</xdr:colOff>
      <xdr:row>20</xdr:row>
      <xdr:rowOff>86683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55469E-4EEB-4449-8F1A-11022BF9C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49742</xdr:colOff>
      <xdr:row>24</xdr:row>
      <xdr:rowOff>63500</xdr:rowOff>
    </xdr:from>
    <xdr:to>
      <xdr:col>20</xdr:col>
      <xdr:colOff>564089</xdr:colOff>
      <xdr:row>42</xdr:row>
      <xdr:rowOff>144524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502598-A99F-4974-A43E-76FD6D7B3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508000</xdr:colOff>
      <xdr:row>27</xdr:row>
      <xdr:rowOff>21167</xdr:rowOff>
    </xdr:from>
    <xdr:to>
      <xdr:col>9</xdr:col>
      <xdr:colOff>508000</xdr:colOff>
      <xdr:row>41</xdr:row>
      <xdr:rowOff>10583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CDE0C436-7107-86EA-F366-90DF0D139438}"/>
            </a:ext>
          </a:extLst>
        </xdr:cNvPr>
        <xdr:cNvCxnSpPr/>
      </xdr:nvCxnSpPr>
      <xdr:spPr>
        <a:xfrm flipV="1">
          <a:off x="9937750" y="4095750"/>
          <a:ext cx="0" cy="221191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438154</xdr:colOff>
      <xdr:row>27</xdr:row>
      <xdr:rowOff>14819</xdr:rowOff>
    </xdr:from>
    <xdr:to>
      <xdr:col>13</xdr:col>
      <xdr:colOff>438154</xdr:colOff>
      <xdr:row>41</xdr:row>
      <xdr:rowOff>5167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383535E2-8D4A-46F5-ADCB-6C0533216767}"/>
            </a:ext>
          </a:extLst>
        </xdr:cNvPr>
        <xdr:cNvCxnSpPr/>
      </xdr:nvCxnSpPr>
      <xdr:spPr>
        <a:xfrm flipV="1">
          <a:off x="12196237" y="4089402"/>
          <a:ext cx="0" cy="221284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135470</xdr:colOff>
      <xdr:row>27</xdr:row>
      <xdr:rowOff>19047</xdr:rowOff>
    </xdr:from>
    <xdr:to>
      <xdr:col>16</xdr:col>
      <xdr:colOff>135470</xdr:colOff>
      <xdr:row>41</xdr:row>
      <xdr:rowOff>9395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DF06B3D8-FC77-49F0-B0F5-40C868E7BC8C}"/>
            </a:ext>
          </a:extLst>
        </xdr:cNvPr>
        <xdr:cNvCxnSpPr/>
      </xdr:nvCxnSpPr>
      <xdr:spPr>
        <a:xfrm flipV="1">
          <a:off x="13396387" y="4093630"/>
          <a:ext cx="0" cy="221284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476251</xdr:colOff>
      <xdr:row>27</xdr:row>
      <xdr:rowOff>10583</xdr:rowOff>
    </xdr:from>
    <xdr:ext cx="1030026" cy="23320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C286EA2-3AF0-FF46-968D-6B1D84E6FFA1}"/>
            </a:ext>
          </a:extLst>
        </xdr:cNvPr>
        <xdr:cNvSpPr txBox="1"/>
      </xdr:nvSpPr>
      <xdr:spPr>
        <a:xfrm>
          <a:off x="9906001" y="4085166"/>
          <a:ext cx="1030026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900">
              <a:latin typeface="+mj-lt"/>
            </a:rPr>
            <a:t>Construction</a:t>
          </a:r>
          <a:r>
            <a:rPr lang="en-US" sz="900" baseline="0">
              <a:latin typeface="+mj-lt"/>
            </a:rPr>
            <a:t> Start</a:t>
          </a:r>
          <a:endParaRPr lang="en-US" sz="900">
            <a:latin typeface="+mj-lt"/>
          </a:endParaRPr>
        </a:p>
      </xdr:txBody>
    </xdr:sp>
    <xdr:clientData/>
  </xdr:oneCellAnchor>
  <xdr:oneCellAnchor>
    <xdr:from>
      <xdr:col>13</xdr:col>
      <xdr:colOff>469905</xdr:colOff>
      <xdr:row>26</xdr:row>
      <xdr:rowOff>120650</xdr:rowOff>
    </xdr:from>
    <xdr:ext cx="1231043" cy="37407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D9F1861D-AE7F-4B80-B09E-A004026CA5AF}"/>
            </a:ext>
          </a:extLst>
        </xdr:cNvPr>
        <xdr:cNvSpPr txBox="1"/>
      </xdr:nvSpPr>
      <xdr:spPr>
        <a:xfrm>
          <a:off x="12227988" y="4036483"/>
          <a:ext cx="1231043" cy="3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900">
              <a:latin typeface="+mj-lt"/>
            </a:rPr>
            <a:t>Modular Construction </a:t>
          </a:r>
          <a:br>
            <a:rPr lang="en-US" sz="900">
              <a:latin typeface="+mj-lt"/>
            </a:rPr>
          </a:br>
          <a:r>
            <a:rPr lang="en-US" sz="900">
              <a:latin typeface="+mj-lt"/>
            </a:rPr>
            <a:t>Complete</a:t>
          </a:r>
        </a:p>
      </xdr:txBody>
    </xdr:sp>
    <xdr:clientData/>
  </xdr:oneCellAnchor>
  <xdr:oneCellAnchor>
    <xdr:from>
      <xdr:col>16</xdr:col>
      <xdr:colOff>93137</xdr:colOff>
      <xdr:row>26</xdr:row>
      <xdr:rowOff>124883</xdr:rowOff>
    </xdr:from>
    <xdr:ext cx="1332481" cy="37407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873351B-9984-4EED-9647-C9C3DF81BDA1}"/>
            </a:ext>
          </a:extLst>
        </xdr:cNvPr>
        <xdr:cNvSpPr txBox="1"/>
      </xdr:nvSpPr>
      <xdr:spPr>
        <a:xfrm>
          <a:off x="13354054" y="4040716"/>
          <a:ext cx="1332481" cy="3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900">
              <a:latin typeface="+mj-lt"/>
            </a:rPr>
            <a:t>Traditional Construction </a:t>
          </a:r>
          <a:br>
            <a:rPr lang="en-US" sz="900">
              <a:latin typeface="+mj-lt"/>
            </a:rPr>
          </a:br>
          <a:r>
            <a:rPr lang="en-US" sz="900">
              <a:latin typeface="+mj-lt"/>
            </a:rPr>
            <a:t>Complete</a:t>
          </a:r>
        </a:p>
      </xdr:txBody>
    </xdr:sp>
    <xdr:clientData/>
  </xdr:oneCellAnchor>
  <xdr:twoCellAnchor>
    <xdr:from>
      <xdr:col>13</xdr:col>
      <xdr:colOff>423337</xdr:colOff>
      <xdr:row>38</xdr:row>
      <xdr:rowOff>95250</xdr:rowOff>
    </xdr:from>
    <xdr:to>
      <xdr:col>16</xdr:col>
      <xdr:colOff>84666</xdr:colOff>
      <xdr:row>38</xdr:row>
      <xdr:rowOff>95250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B39A5332-726E-401B-3ED0-C4E1E199FDC1}"/>
            </a:ext>
          </a:extLst>
        </xdr:cNvPr>
        <xdr:cNvCxnSpPr/>
      </xdr:nvCxnSpPr>
      <xdr:spPr>
        <a:xfrm>
          <a:off x="12181420" y="5916083"/>
          <a:ext cx="1164163" cy="0"/>
        </a:xfrm>
        <a:prstGeom prst="straightConnector1">
          <a:avLst/>
        </a:prstGeom>
        <a:ln w="285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400056</xdr:colOff>
      <xdr:row>35</xdr:row>
      <xdr:rowOff>124883</xdr:rowOff>
    </xdr:from>
    <xdr:ext cx="1293282" cy="37407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643E1B67-0542-4EEC-A414-C4593CC0150A}"/>
            </a:ext>
          </a:extLst>
        </xdr:cNvPr>
        <xdr:cNvSpPr txBox="1"/>
      </xdr:nvSpPr>
      <xdr:spPr>
        <a:xfrm>
          <a:off x="12158139" y="5469466"/>
          <a:ext cx="1293282" cy="3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900">
              <a:latin typeface="+mj-lt"/>
            </a:rPr>
            <a:t>Modular construction is 40%</a:t>
          </a:r>
          <a:r>
            <a:rPr lang="en-US" sz="900" baseline="0">
              <a:latin typeface="+mj-lt"/>
            </a:rPr>
            <a:t> faster on average</a:t>
          </a:r>
          <a:endParaRPr lang="en-US" sz="900">
            <a:latin typeface="+mj-lt"/>
          </a:endParaRPr>
        </a:p>
      </xdr:txBody>
    </xdr:sp>
    <xdr:clientData/>
  </xdr:oneCellAnchor>
  <xdr:twoCellAnchor editAs="oneCell">
    <xdr:from>
      <xdr:col>0</xdr:col>
      <xdr:colOff>72571</xdr:colOff>
      <xdr:row>0</xdr:row>
      <xdr:rowOff>57453</xdr:rowOff>
    </xdr:from>
    <xdr:to>
      <xdr:col>1</xdr:col>
      <xdr:colOff>1923143</xdr:colOff>
      <xdr:row>3</xdr:row>
      <xdr:rowOff>54116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8C1AA5CF-4ADA-8B58-088D-5928B7F88C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54" t="40798" r="1874" b="40179"/>
        <a:stretch/>
      </xdr:blipFill>
      <xdr:spPr bwMode="auto">
        <a:xfrm>
          <a:off x="72571" y="57453"/>
          <a:ext cx="2467429" cy="50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15875</xdr:rowOff>
    </xdr:from>
    <xdr:to>
      <xdr:col>0</xdr:col>
      <xdr:colOff>2467429</xdr:colOff>
      <xdr:row>3</xdr:row>
      <xdr:rowOff>20475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E9B61D-4828-4EB2-A8A9-39F8A62A63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54" t="40798" r="1874" b="40179"/>
        <a:stretch/>
      </xdr:blipFill>
      <xdr:spPr bwMode="auto">
        <a:xfrm>
          <a:off x="0" y="15875"/>
          <a:ext cx="2467429" cy="50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</xdr:colOff>
      <xdr:row>57</xdr:row>
      <xdr:rowOff>59532</xdr:rowOff>
    </xdr:from>
    <xdr:to>
      <xdr:col>7</xdr:col>
      <xdr:colOff>849112</xdr:colOff>
      <xdr:row>93</xdr:row>
      <xdr:rowOff>108121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46F07B7-4896-5FBA-D859-810902F0A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" y="10918032"/>
          <a:ext cx="9945488" cy="69065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2467429</xdr:colOff>
      <xdr:row>2</xdr:row>
      <xdr:rowOff>139538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272F1A-E771-4D95-96C1-32C63E9ACC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54" t="40798" r="1874" b="40179"/>
        <a:stretch/>
      </xdr:blipFill>
      <xdr:spPr bwMode="auto">
        <a:xfrm>
          <a:off x="0" y="0"/>
          <a:ext cx="2467429" cy="50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2467429</xdr:colOff>
      <xdr:row>2</xdr:row>
      <xdr:rowOff>139538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7CE122-7342-4802-B700-1B5F3EBF29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54" t="40798" r="1874" b="40179"/>
        <a:stretch/>
      </xdr:blipFill>
      <xdr:spPr bwMode="auto">
        <a:xfrm>
          <a:off x="0" y="0"/>
          <a:ext cx="2467429" cy="50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13</xdr:row>
      <xdr:rowOff>30161</xdr:rowOff>
    </xdr:from>
    <xdr:to>
      <xdr:col>8</xdr:col>
      <xdr:colOff>180975</xdr:colOff>
      <xdr:row>29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A0DC78-F91E-8C36-C754-53524E2227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571499</xdr:colOff>
      <xdr:row>42</xdr:row>
      <xdr:rowOff>100012</xdr:rowOff>
    </xdr:from>
    <xdr:to>
      <xdr:col>12</xdr:col>
      <xdr:colOff>19050</xdr:colOff>
      <xdr:row>56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FA87E24-FC40-D94E-6D84-A83BBF8A77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352BE-2B82-4BEA-8F15-E300B55F3E64}">
  <sheetPr>
    <tabColor theme="1"/>
  </sheetPr>
  <dimension ref="A2:U79"/>
  <sheetViews>
    <sheetView showGridLines="0" tabSelected="1" topLeftCell="M16" zoomScale="230" zoomScaleNormal="230" zoomScaleSheetLayoutView="80" workbookViewId="0">
      <selection activeCell="C1" sqref="C1"/>
    </sheetView>
  </sheetViews>
  <sheetFormatPr baseColWidth="10" defaultColWidth="8.83203125" defaultRowHeight="14" outlineLevelRow="1"/>
  <cols>
    <col min="1" max="1" width="8.83203125" style="119"/>
    <col min="2" max="2" width="42.5" style="119" bestFit="1" customWidth="1"/>
    <col min="3" max="3" width="17.5" style="119" customWidth="1"/>
    <col min="4" max="4" width="31.5" style="119" customWidth="1"/>
    <col min="5" max="5" width="8.83203125" style="119"/>
    <col min="6" max="6" width="8.33203125" style="119" customWidth="1"/>
    <col min="7" max="7" width="5.5" style="119" customWidth="1"/>
    <col min="8" max="8" width="9.5" style="119" customWidth="1"/>
    <col min="9" max="9" width="9" style="119" customWidth="1"/>
    <col min="10" max="10" width="8.33203125" style="119" bestFit="1" customWidth="1"/>
    <col min="11" max="11" width="8.83203125" style="119" customWidth="1"/>
    <col min="12" max="15" width="8.83203125" style="119"/>
    <col min="16" max="16" width="4.6640625" style="119" customWidth="1"/>
    <col min="17" max="20" width="8.83203125" style="119"/>
    <col min="21" max="21" width="11.33203125" style="119" customWidth="1"/>
    <col min="22" max="16384" width="8.83203125" style="119"/>
  </cols>
  <sheetData>
    <row r="2" spans="1:21" ht="15">
      <c r="A2"/>
      <c r="B2"/>
    </row>
    <row r="4" spans="1:21" ht="15" thickBot="1"/>
    <row r="5" spans="1:21" ht="20" thickBot="1">
      <c r="B5" s="307" t="s">
        <v>0</v>
      </c>
      <c r="C5" s="280"/>
      <c r="D5" s="281"/>
      <c r="G5" s="307" t="s">
        <v>1</v>
      </c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1"/>
    </row>
    <row r="6" spans="1:21" ht="15" thickTop="1">
      <c r="B6" s="282"/>
      <c r="D6" s="283"/>
      <c r="G6" s="282"/>
      <c r="U6" s="283"/>
    </row>
    <row r="7" spans="1:21" ht="15" thickBot="1">
      <c r="B7" s="470" t="str">
        <f>D10</f>
        <v>Sample Project</v>
      </c>
      <c r="C7" s="468"/>
      <c r="D7" s="469"/>
      <c r="G7" s="471"/>
      <c r="H7" s="468"/>
      <c r="I7" s="468"/>
      <c r="J7" s="468"/>
      <c r="K7" s="468"/>
      <c r="L7" s="468"/>
      <c r="M7" s="468"/>
      <c r="N7" s="468"/>
      <c r="O7" s="468"/>
      <c r="P7" s="468"/>
      <c r="Q7" s="468"/>
      <c r="R7" s="468"/>
      <c r="S7" s="468"/>
      <c r="T7" s="468"/>
      <c r="U7" s="469"/>
    </row>
    <row r="8" spans="1:21">
      <c r="B8" s="284"/>
      <c r="C8" s="285"/>
      <c r="D8" s="286"/>
      <c r="G8" s="282"/>
      <c r="U8" s="283"/>
    </row>
    <row r="9" spans="1:21" ht="15" customHeight="1">
      <c r="B9" s="287" t="s">
        <v>2</v>
      </c>
      <c r="C9" s="357"/>
      <c r="D9" s="288"/>
      <c r="G9" s="282"/>
      <c r="U9" s="283"/>
    </row>
    <row r="10" spans="1:21">
      <c r="B10" s="282" t="s">
        <v>3</v>
      </c>
      <c r="D10" s="288" t="str">
        <f>Inputs!F7</f>
        <v>Sample Project</v>
      </c>
      <c r="G10" s="282"/>
      <c r="U10" s="283"/>
    </row>
    <row r="11" spans="1:21">
      <c r="B11" s="282" t="s">
        <v>4</v>
      </c>
      <c r="D11" s="288" t="s">
        <v>5</v>
      </c>
      <c r="G11" s="282"/>
      <c r="U11" s="283"/>
    </row>
    <row r="12" spans="1:21">
      <c r="B12" s="282" t="s">
        <v>6</v>
      </c>
      <c r="D12" s="289" t="s">
        <v>7</v>
      </c>
      <c r="G12" s="282"/>
      <c r="U12" s="283"/>
    </row>
    <row r="13" spans="1:21">
      <c r="B13" s="282" t="s">
        <v>8</v>
      </c>
      <c r="D13" s="289">
        <f>Inputs!K14</f>
        <v>120000</v>
      </c>
      <c r="G13" s="282"/>
      <c r="U13" s="283"/>
    </row>
    <row r="14" spans="1:21">
      <c r="B14" s="282" t="s">
        <v>9</v>
      </c>
      <c r="D14" s="289">
        <f>Inputs!K16</f>
        <v>100000</v>
      </c>
      <c r="G14" s="282"/>
      <c r="U14" s="283"/>
    </row>
    <row r="15" spans="1:21">
      <c r="B15" s="282" t="s">
        <v>10</v>
      </c>
      <c r="D15" s="289">
        <f>Inputs!K15</f>
        <v>20000</v>
      </c>
      <c r="G15" s="282"/>
      <c r="U15" s="283"/>
    </row>
    <row r="16" spans="1:21">
      <c r="B16" s="282" t="s">
        <v>11</v>
      </c>
      <c r="D16" s="290">
        <f>Inputs!E25</f>
        <v>4.2857142857142856</v>
      </c>
      <c r="G16" s="282"/>
      <c r="U16" s="283"/>
    </row>
    <row r="17" spans="2:21">
      <c r="B17" s="282"/>
      <c r="D17" s="291"/>
      <c r="G17" s="282"/>
      <c r="U17" s="283"/>
    </row>
    <row r="18" spans="2:21">
      <c r="B18" s="287" t="s">
        <v>12</v>
      </c>
      <c r="C18" s="357"/>
      <c r="D18" s="291"/>
      <c r="G18" s="282"/>
      <c r="U18" s="283"/>
    </row>
    <row r="19" spans="2:21">
      <c r="B19" s="292" t="s">
        <v>13</v>
      </c>
      <c r="C19" s="293" t="s">
        <v>14</v>
      </c>
      <c r="D19" s="294" t="s">
        <v>15</v>
      </c>
      <c r="E19" s="295" t="s">
        <v>16</v>
      </c>
      <c r="G19" s="282"/>
      <c r="U19" s="283"/>
    </row>
    <row r="20" spans="2:21">
      <c r="B20" s="296" t="s">
        <v>17</v>
      </c>
      <c r="C20" s="358">
        <f>Inputs!K87</f>
        <v>45292</v>
      </c>
      <c r="D20" s="297">
        <f>Inputs!L89-Inputs!L87-1</f>
        <v>3</v>
      </c>
      <c r="E20" s="295">
        <f t="shared" ref="E20:E27" si="0">D20*30.437</f>
        <v>91.311000000000007</v>
      </c>
      <c r="G20" s="282"/>
      <c r="U20" s="283"/>
    </row>
    <row r="21" spans="2:21" ht="15" thickBot="1">
      <c r="B21" s="298" t="s">
        <v>18</v>
      </c>
      <c r="C21" s="358">
        <f>Inputs!K89</f>
        <v>45383</v>
      </c>
      <c r="D21" s="297">
        <f>Inputs!L93-Inputs!L89+1</f>
        <v>12</v>
      </c>
      <c r="E21" s="295">
        <f t="shared" si="0"/>
        <v>365.24400000000003</v>
      </c>
      <c r="G21" s="299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1"/>
    </row>
    <row r="22" spans="2:21">
      <c r="B22" s="298" t="s">
        <v>19</v>
      </c>
      <c r="C22" s="358">
        <f>Inputs!K91</f>
        <v>45413</v>
      </c>
      <c r="D22" s="297">
        <f>Inputs!L92-Inputs!L91</f>
        <v>5</v>
      </c>
      <c r="E22" s="295">
        <f t="shared" si="0"/>
        <v>152.185</v>
      </c>
    </row>
    <row r="23" spans="2:21" ht="15" thickBot="1">
      <c r="B23" s="298" t="s">
        <v>20</v>
      </c>
      <c r="C23" s="358">
        <f>Inputs!K94</f>
        <v>45748</v>
      </c>
      <c r="D23" s="297">
        <f>Inputs!L95-Inputs!L94+1</f>
        <v>12</v>
      </c>
      <c r="E23" s="295">
        <f t="shared" si="0"/>
        <v>365.24400000000003</v>
      </c>
      <c r="K23" s="302"/>
      <c r="L23" s="302"/>
      <c r="M23" s="302"/>
      <c r="N23" s="302"/>
      <c r="O23" s="302"/>
    </row>
    <row r="24" spans="2:21" ht="20" thickBot="1">
      <c r="B24" s="298"/>
      <c r="C24" s="358"/>
      <c r="D24" s="297"/>
      <c r="E24" s="295"/>
      <c r="G24" s="307" t="s">
        <v>21</v>
      </c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1"/>
    </row>
    <row r="25" spans="2:21" ht="15" thickTop="1">
      <c r="B25" s="296" t="s">
        <v>22</v>
      </c>
      <c r="C25" s="358">
        <f>Inputs!R87</f>
        <v>45292</v>
      </c>
      <c r="D25" s="297">
        <f>Inputs!S89-Inputs!S87-1</f>
        <v>6</v>
      </c>
      <c r="E25" s="295">
        <f t="shared" si="0"/>
        <v>182.62200000000001</v>
      </c>
      <c r="G25" s="282"/>
      <c r="K25" s="302"/>
      <c r="L25" s="302"/>
      <c r="M25" s="302"/>
      <c r="N25" s="302"/>
      <c r="O25" s="302"/>
      <c r="U25" s="283"/>
    </row>
    <row r="26" spans="2:21">
      <c r="B26" s="298" t="s">
        <v>23</v>
      </c>
      <c r="C26" s="358">
        <f>Inputs!R89</f>
        <v>45474</v>
      </c>
      <c r="D26" s="297">
        <f>Inputs!S93-Inputs!S89+1</f>
        <v>20</v>
      </c>
      <c r="E26" s="295">
        <f t="shared" si="0"/>
        <v>608.74</v>
      </c>
      <c r="G26" s="282"/>
      <c r="K26" s="302"/>
      <c r="L26" s="302"/>
      <c r="M26" s="302"/>
      <c r="N26" s="302"/>
      <c r="O26" s="302"/>
      <c r="U26" s="283"/>
    </row>
    <row r="27" spans="2:21">
      <c r="B27" s="298" t="s">
        <v>24</v>
      </c>
      <c r="C27" s="358">
        <f>Inputs!R94</f>
        <v>46082</v>
      </c>
      <c r="D27" s="297">
        <f>Inputs!S95-Inputs!S94+1</f>
        <v>12</v>
      </c>
      <c r="E27" s="295">
        <f t="shared" si="0"/>
        <v>365.24400000000003</v>
      </c>
      <c r="G27" s="282"/>
      <c r="K27" s="302"/>
      <c r="L27" s="302"/>
      <c r="M27" s="302"/>
      <c r="N27" s="302"/>
      <c r="O27" s="302"/>
      <c r="U27" s="283"/>
    </row>
    <row r="28" spans="2:21">
      <c r="B28" s="282"/>
      <c r="D28" s="291"/>
      <c r="G28" s="282"/>
      <c r="K28" s="302"/>
      <c r="L28" s="302"/>
      <c r="M28" s="302"/>
      <c r="N28" s="302"/>
      <c r="O28" s="302"/>
      <c r="U28" s="283"/>
    </row>
    <row r="29" spans="2:21">
      <c r="B29" s="287" t="s">
        <v>25</v>
      </c>
      <c r="C29" s="357"/>
      <c r="D29" s="291"/>
      <c r="G29" s="282"/>
      <c r="K29" s="302"/>
      <c r="L29" s="302"/>
      <c r="M29" s="302"/>
      <c r="N29" s="302"/>
      <c r="O29" s="302"/>
      <c r="U29" s="283"/>
    </row>
    <row r="30" spans="2:21">
      <c r="B30" s="282" t="s">
        <v>26</v>
      </c>
      <c r="D30" s="303">
        <f>Inputs!K13</f>
        <v>12</v>
      </c>
      <c r="G30" s="282"/>
      <c r="K30" s="302"/>
      <c r="L30" s="302"/>
      <c r="M30" s="302"/>
      <c r="N30" s="302"/>
      <c r="O30" s="302"/>
      <c r="U30" s="283"/>
    </row>
    <row r="31" spans="2:21">
      <c r="B31" s="292" t="s">
        <v>27</v>
      </c>
      <c r="C31" s="359"/>
      <c r="D31" s="304">
        <f ca="1">Inputs!L78</f>
        <v>47200628.549768634</v>
      </c>
      <c r="G31" s="282"/>
      <c r="K31" s="302"/>
      <c r="L31" s="302"/>
      <c r="M31" s="302"/>
      <c r="N31" s="302"/>
      <c r="O31" s="302"/>
      <c r="U31" s="283"/>
    </row>
    <row r="32" spans="2:21">
      <c r="B32" s="296" t="s">
        <v>28</v>
      </c>
      <c r="C32" s="360"/>
      <c r="D32" s="305">
        <f>Inputs!L74</f>
        <v>5000000</v>
      </c>
      <c r="G32" s="324"/>
      <c r="H32" s="302"/>
      <c r="I32" s="302"/>
      <c r="J32" s="302"/>
      <c r="K32" s="302"/>
      <c r="L32" s="302"/>
      <c r="M32" s="302"/>
      <c r="N32" s="302"/>
      <c r="O32" s="302"/>
      <c r="U32" s="283"/>
    </row>
    <row r="33" spans="2:21">
      <c r="B33" s="298" t="s">
        <v>29</v>
      </c>
      <c r="C33" s="361"/>
      <c r="D33" s="305">
        <f>Inputs!L75</f>
        <v>36000000</v>
      </c>
      <c r="G33" s="324"/>
      <c r="H33" s="302"/>
      <c r="I33" s="302"/>
      <c r="J33" s="302"/>
      <c r="K33" s="302"/>
      <c r="L33" s="302"/>
      <c r="M33" s="302"/>
      <c r="N33" s="302"/>
      <c r="O33" s="302"/>
      <c r="U33" s="283"/>
    </row>
    <row r="34" spans="2:21">
      <c r="B34" s="298" t="s">
        <v>30</v>
      </c>
      <c r="C34" s="361"/>
      <c r="D34" s="305">
        <f>Inputs!L76</f>
        <v>3950000</v>
      </c>
      <c r="G34" s="324"/>
      <c r="H34" s="302"/>
      <c r="I34" s="302"/>
      <c r="J34" s="302"/>
      <c r="K34" s="302"/>
      <c r="L34" s="302"/>
      <c r="M34" s="302"/>
      <c r="N34" s="302"/>
      <c r="O34" s="302"/>
      <c r="U34" s="283"/>
    </row>
    <row r="35" spans="2:21">
      <c r="B35" s="298" t="s">
        <v>31</v>
      </c>
      <c r="C35" s="361"/>
      <c r="D35" s="305">
        <f ca="1">Inputs!L77</f>
        <v>2250628.5497686313</v>
      </c>
      <c r="G35" s="324"/>
      <c r="H35" s="302"/>
      <c r="I35" s="302"/>
      <c r="J35" s="302"/>
      <c r="K35" s="302"/>
      <c r="L35" s="302"/>
      <c r="M35" s="302"/>
      <c r="N35" s="302"/>
      <c r="O35" s="302"/>
      <c r="U35" s="283"/>
    </row>
    <row r="36" spans="2:21">
      <c r="B36" s="306" t="s">
        <v>32</v>
      </c>
      <c r="C36" s="362"/>
      <c r="D36" s="304">
        <f ca="1">Inputs!L83</f>
        <v>47200628.549768634</v>
      </c>
      <c r="G36" s="324"/>
      <c r="H36" s="302"/>
      <c r="I36" s="302"/>
      <c r="J36" s="302"/>
      <c r="K36" s="302"/>
      <c r="L36" s="302"/>
      <c r="M36" s="302"/>
      <c r="N36" s="302"/>
      <c r="O36" s="302"/>
      <c r="U36" s="283"/>
    </row>
    <row r="37" spans="2:21">
      <c r="B37" s="296" t="s">
        <v>33</v>
      </c>
      <c r="C37" s="363"/>
      <c r="D37" s="305">
        <f ca="1">Inputs!L80</f>
        <v>28320377.100803025</v>
      </c>
      <c r="G37" s="324"/>
      <c r="H37" s="302"/>
      <c r="I37" s="302"/>
      <c r="J37" s="302"/>
      <c r="K37" s="302"/>
      <c r="L37" s="302"/>
      <c r="M37" s="302"/>
      <c r="N37" s="302"/>
      <c r="O37" s="302"/>
      <c r="U37" s="283"/>
    </row>
    <row r="38" spans="2:21">
      <c r="B38" s="298" t="s">
        <v>34</v>
      </c>
      <c r="D38" s="305">
        <f ca="1">Inputs!L81</f>
        <v>0</v>
      </c>
      <c r="G38" s="324"/>
      <c r="H38" s="302"/>
      <c r="I38" s="302"/>
      <c r="J38" s="302"/>
      <c r="K38" s="302"/>
      <c r="L38" s="302"/>
      <c r="M38" s="302"/>
      <c r="N38" s="302"/>
      <c r="O38" s="302"/>
      <c r="U38" s="283"/>
    </row>
    <row r="39" spans="2:21">
      <c r="B39" s="298" t="s">
        <v>35</v>
      </c>
      <c r="D39" s="305">
        <f ca="1">Inputs!L82</f>
        <v>18880251.448965609</v>
      </c>
      <c r="G39" s="324"/>
      <c r="H39" s="302"/>
      <c r="I39" s="302"/>
      <c r="J39" s="302"/>
      <c r="K39" s="302"/>
      <c r="L39" s="302"/>
      <c r="M39" s="302"/>
      <c r="N39" s="302"/>
      <c r="O39" s="302"/>
      <c r="U39" s="283"/>
    </row>
    <row r="40" spans="2:21">
      <c r="B40" s="298"/>
      <c r="D40" s="305"/>
      <c r="G40" s="324"/>
      <c r="H40" s="302"/>
      <c r="I40" s="302"/>
      <c r="J40" s="302"/>
      <c r="K40" s="302"/>
      <c r="L40" s="302"/>
      <c r="M40" s="302"/>
      <c r="N40" s="302"/>
      <c r="O40" s="302"/>
      <c r="U40" s="283"/>
    </row>
    <row r="41" spans="2:21">
      <c r="B41" s="292" t="s">
        <v>36</v>
      </c>
      <c r="C41" s="359"/>
      <c r="D41" s="304"/>
      <c r="G41" s="282"/>
      <c r="U41" s="283"/>
    </row>
    <row r="42" spans="2:21">
      <c r="B42" s="353" t="s">
        <v>37</v>
      </c>
      <c r="C42" s="311"/>
      <c r="D42" s="354">
        <f>Inputs!K112</f>
        <v>54214972.233085684</v>
      </c>
      <c r="G42" s="282"/>
      <c r="U42" s="283"/>
    </row>
    <row r="43" spans="2:21" ht="15" thickBot="1">
      <c r="B43" s="355" t="s">
        <v>38</v>
      </c>
      <c r="C43" s="311"/>
      <c r="D43" s="364">
        <f ca="1">Inputs!K111</f>
        <v>5.591675356768272E-2</v>
      </c>
      <c r="G43" s="299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1"/>
    </row>
    <row r="44" spans="2:21">
      <c r="B44" s="351" t="s">
        <v>39</v>
      </c>
      <c r="C44" s="312"/>
      <c r="D44" s="376">
        <f ca="1">Inputs!J104</f>
        <v>0.17193004488945007</v>
      </c>
    </row>
    <row r="45" spans="2:21" ht="15" outlineLevel="1" thickBot="1">
      <c r="B45" s="282"/>
      <c r="D45" s="291"/>
    </row>
    <row r="46" spans="2:21" ht="20" outlineLevel="1" thickBot="1">
      <c r="B46" s="287" t="s">
        <v>40</v>
      </c>
      <c r="C46" s="357"/>
      <c r="D46" s="291"/>
      <c r="G46" s="307" t="s">
        <v>41</v>
      </c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1"/>
    </row>
    <row r="47" spans="2:21" ht="15" outlineLevel="1" thickTop="1">
      <c r="B47" s="282" t="s">
        <v>26</v>
      </c>
      <c r="D47" s="303">
        <f>Inputs!R13</f>
        <v>20</v>
      </c>
      <c r="G47" s="282"/>
      <c r="U47" s="283"/>
    </row>
    <row r="48" spans="2:21" outlineLevel="1">
      <c r="B48" s="292" t="s">
        <v>27</v>
      </c>
      <c r="C48" s="359"/>
      <c r="D48" s="304">
        <f ca="1">Inputs!S78</f>
        <v>47498457.935773678</v>
      </c>
      <c r="G48" s="282"/>
      <c r="I48" s="467" t="s">
        <v>42</v>
      </c>
      <c r="J48" s="467"/>
      <c r="K48" s="467"/>
      <c r="L48" s="467"/>
      <c r="M48" s="467"/>
      <c r="N48" s="467"/>
      <c r="O48" s="467"/>
      <c r="R48" s="384" t="s">
        <v>43</v>
      </c>
      <c r="S48" s="385" t="s">
        <v>44</v>
      </c>
      <c r="T48" s="385"/>
      <c r="U48" s="283"/>
    </row>
    <row r="49" spans="2:21" outlineLevel="1">
      <c r="B49" s="296" t="s">
        <v>28</v>
      </c>
      <c r="C49" s="360"/>
      <c r="D49" s="305">
        <f>Inputs!S74</f>
        <v>5000000</v>
      </c>
      <c r="G49" s="282"/>
      <c r="H49" s="383">
        <f ca="1">D44-D61</f>
        <v>2.799042463302609E-2</v>
      </c>
      <c r="I49" s="381">
        <f>L49*0.925</f>
        <v>277.5</v>
      </c>
      <c r="J49" s="381">
        <f>L49*0.95</f>
        <v>285</v>
      </c>
      <c r="K49" s="381">
        <f>L49*0.975</f>
        <v>292.5</v>
      </c>
      <c r="L49" s="381">
        <f>H53</f>
        <v>300</v>
      </c>
      <c r="M49" s="381">
        <f>L49*1.025</f>
        <v>307.5</v>
      </c>
      <c r="N49" s="381">
        <f>L49*1.05</f>
        <v>315</v>
      </c>
      <c r="O49" s="381">
        <f>L49*1.075</f>
        <v>322.5</v>
      </c>
      <c r="R49" s="384" t="s">
        <v>45</v>
      </c>
      <c r="S49" s="386">
        <v>300</v>
      </c>
      <c r="T49" s="386"/>
      <c r="U49" s="283"/>
    </row>
    <row r="50" spans="2:21" ht="14.25" customHeight="1" outlineLevel="1">
      <c r="B50" s="298" t="s">
        <v>29</v>
      </c>
      <c r="C50" s="361"/>
      <c r="D50" s="305">
        <f>Inputs!S75</f>
        <v>36000000</v>
      </c>
      <c r="G50" s="466" t="s">
        <v>46</v>
      </c>
      <c r="H50" s="382">
        <f>H53*0.925</f>
        <v>277.5</v>
      </c>
      <c r="I50" s="379">
        <f t="dataTable" ref="I50:O56" dt2D="1" dtr="1" r1="S50" r2="S49" ca="1"/>
        <v>5.9296035766601501E-2</v>
      </c>
      <c r="J50" s="380">
        <v>7.861478328704824E-2</v>
      </c>
      <c r="K50" s="380">
        <v>9.7735595703124872E-2</v>
      </c>
      <c r="L50" s="380">
        <v>0.11674280166625964</v>
      </c>
      <c r="M50" s="380">
        <v>0.13558100461959832</v>
      </c>
      <c r="N50" s="380">
        <v>0.15425897836685173</v>
      </c>
      <c r="O50" s="380">
        <v>0.17278894186019889</v>
      </c>
      <c r="R50" s="384" t="s">
        <v>47</v>
      </c>
      <c r="S50" s="386">
        <v>300</v>
      </c>
      <c r="T50" s="386"/>
      <c r="U50" s="283"/>
    </row>
    <row r="51" spans="2:21" outlineLevel="1">
      <c r="B51" s="298" t="s">
        <v>30</v>
      </c>
      <c r="C51" s="361"/>
      <c r="D51" s="305">
        <f>Inputs!S76</f>
        <v>4020000</v>
      </c>
      <c r="G51" s="466"/>
      <c r="H51" s="382">
        <f>H53*0.95</f>
        <v>285</v>
      </c>
      <c r="I51" s="378">
        <v>2.9147350788116394E-2</v>
      </c>
      <c r="J51" s="377">
        <v>4.8501777648925715E-2</v>
      </c>
      <c r="K51" s="377">
        <v>6.7673468589782654E-2</v>
      </c>
      <c r="L51" s="377">
        <v>8.6722350120544356E-2</v>
      </c>
      <c r="M51" s="377">
        <v>0.10560128688812248</v>
      </c>
      <c r="N51" s="377">
        <v>0.12432190179824826</v>
      </c>
      <c r="O51" s="377">
        <v>0.14289654493331905</v>
      </c>
      <c r="U51" s="283"/>
    </row>
    <row r="52" spans="2:21" ht="12.75" customHeight="1" outlineLevel="1">
      <c r="B52" s="298" t="s">
        <v>31</v>
      </c>
      <c r="C52" s="361"/>
      <c r="D52" s="305">
        <f ca="1">Inputs!S77</f>
        <v>2478457.9357736767</v>
      </c>
      <c r="G52" s="466"/>
      <c r="H52" s="382">
        <f>H53*0.975</f>
        <v>292.5</v>
      </c>
      <c r="I52" s="378">
        <v>-5.0802230834962048E-4</v>
      </c>
      <c r="J52" s="377">
        <v>1.8883097171783408E-2</v>
      </c>
      <c r="K52" s="377">
        <v>3.8109922409057584E-2</v>
      </c>
      <c r="L52" s="377">
        <v>5.7197892665863004E-2</v>
      </c>
      <c r="M52" s="377">
        <v>7.6118445396423345E-2</v>
      </c>
      <c r="N52" s="377">
        <v>9.4882643222808843E-2</v>
      </c>
      <c r="O52" s="377">
        <v>0.11350282132625579</v>
      </c>
      <c r="Q52" s="462" t="str">
        <f>"With modular &amp; traditional hard costs equal at $"&amp;L49&amp;" PSF, modular outperforms by " &amp;ROUND(L53,4)*100&amp;" points ROI."</f>
        <v>With modular &amp; traditional hard costs equal at $300 PSF, modular outperforms by 2.8 points ROI.</v>
      </c>
      <c r="R52" s="462"/>
      <c r="S52" s="462"/>
      <c r="T52" s="462"/>
      <c r="U52" s="463"/>
    </row>
    <row r="53" spans="2:21" outlineLevel="1">
      <c r="B53" s="306" t="s">
        <v>32</v>
      </c>
      <c r="C53" s="362"/>
      <c r="D53" s="304">
        <f ca="1">Inputs!S83</f>
        <v>47498457.935773678</v>
      </c>
      <c r="G53" s="466"/>
      <c r="H53" s="388">
        <v>300</v>
      </c>
      <c r="I53" s="378">
        <v>-2.9845356941223172E-2</v>
      </c>
      <c r="J53" s="377">
        <v>-1.0417044162750244E-2</v>
      </c>
      <c r="K53" s="377">
        <v>8.8649511337280107E-3</v>
      </c>
      <c r="L53" s="377">
        <v>2.7994012832641552E-2</v>
      </c>
      <c r="M53" s="377">
        <v>4.6956789493560802E-2</v>
      </c>
      <c r="N53" s="377">
        <v>6.5765523910522455E-2</v>
      </c>
      <c r="O53" s="377">
        <v>8.4432473778724662E-2</v>
      </c>
      <c r="Q53" s="462"/>
      <c r="R53" s="462"/>
      <c r="S53" s="462"/>
      <c r="T53" s="462"/>
      <c r="U53" s="463"/>
    </row>
    <row r="54" spans="2:21" outlineLevel="1">
      <c r="B54" s="296" t="s">
        <v>33</v>
      </c>
      <c r="C54" s="363"/>
      <c r="D54" s="305">
        <f ca="1">Inputs!S80</f>
        <v>28499033.343313657</v>
      </c>
      <c r="G54" s="466"/>
      <c r="H54" s="382">
        <f>H53*1.025</f>
        <v>307.5</v>
      </c>
      <c r="I54" s="378">
        <v>-5.8785545825958296E-2</v>
      </c>
      <c r="J54" s="377">
        <v>-3.9319562911987377E-2</v>
      </c>
      <c r="K54" s="377">
        <v>-1.9981050491333058E-2</v>
      </c>
      <c r="L54" s="377">
        <v>-8.1027746200562634E-4</v>
      </c>
      <c r="M54" s="377">
        <v>1.8195891380310053E-2</v>
      </c>
      <c r="N54" s="377">
        <v>3.7050116062164296E-2</v>
      </c>
      <c r="O54" s="377">
        <v>5.5764886736869787E-2</v>
      </c>
      <c r="Q54" s="462"/>
      <c r="R54" s="462"/>
      <c r="S54" s="462"/>
      <c r="T54" s="462"/>
      <c r="U54" s="463"/>
    </row>
    <row r="55" spans="2:21" ht="12.75" customHeight="1" outlineLevel="1">
      <c r="B55" s="298" t="s">
        <v>34</v>
      </c>
      <c r="D55" s="305">
        <f ca="1">Inputs!S66</f>
        <v>0</v>
      </c>
      <c r="G55" s="466"/>
      <c r="H55" s="382">
        <f>H53*1.05</f>
        <v>315</v>
      </c>
      <c r="I55" s="378">
        <v>-8.7363696098327642E-2</v>
      </c>
      <c r="J55" s="377">
        <v>-6.7851674556732217E-2</v>
      </c>
      <c r="K55" s="377">
        <v>-4.8463225364685003E-2</v>
      </c>
      <c r="L55" s="377">
        <v>-2.9249978065490706E-2</v>
      </c>
      <c r="M55" s="377">
        <v>-1.0199344158172585E-2</v>
      </c>
      <c r="N55" s="377">
        <v>8.7015032768249789E-3</v>
      </c>
      <c r="O55" s="377">
        <v>2.7465090155601529E-2</v>
      </c>
      <c r="Q55" s="462" t="str">
        <f>IF(J53&gt;0,"Modular construction at $"&amp;H53&amp;" PSF outperforms traditional at $"&amp;J49&amp;" PSF by "&amp;ROUND(J53,4)*100&amp;" points ROI.","")</f>
        <v/>
      </c>
      <c r="R55" s="462"/>
      <c r="S55" s="462"/>
      <c r="T55" s="462"/>
      <c r="U55" s="463"/>
    </row>
    <row r="56" spans="2:21" outlineLevel="1">
      <c r="B56" s="298" t="s">
        <v>35</v>
      </c>
      <c r="D56" s="305">
        <f ca="1">Inputs!S82</f>
        <v>18999424.592460021</v>
      </c>
      <c r="G56" s="466"/>
      <c r="H56" s="382">
        <f>H53*1.075</f>
        <v>322.5</v>
      </c>
      <c r="I56" s="378">
        <v>-0.11567575633525849</v>
      </c>
      <c r="J56" s="377">
        <v>-9.6106174588203433E-2</v>
      </c>
      <c r="K56" s="377">
        <v>-7.6677599549293554E-2</v>
      </c>
      <c r="L56" s="377">
        <v>-5.7420983910560622E-2</v>
      </c>
      <c r="M56" s="377">
        <v>-3.8324895501136783E-2</v>
      </c>
      <c r="N56" s="377">
        <v>-1.9376379251480086E-2</v>
      </c>
      <c r="O56" s="377">
        <v>-5.6283473968506137E-4</v>
      </c>
      <c r="Q56" s="462"/>
      <c r="R56" s="462"/>
      <c r="S56" s="462"/>
      <c r="T56" s="462"/>
      <c r="U56" s="463"/>
    </row>
    <row r="57" spans="2:21" ht="15" outlineLevel="1" thickBot="1">
      <c r="B57" s="298"/>
      <c r="D57" s="305"/>
      <c r="G57" s="299"/>
      <c r="H57" s="300"/>
      <c r="I57" s="300"/>
      <c r="J57" s="300"/>
      <c r="K57" s="300"/>
      <c r="L57" s="300"/>
      <c r="M57" s="300"/>
      <c r="N57" s="300"/>
      <c r="O57" s="300"/>
      <c r="P57" s="300"/>
      <c r="Q57" s="464"/>
      <c r="R57" s="464"/>
      <c r="S57" s="464"/>
      <c r="T57" s="464"/>
      <c r="U57" s="465"/>
    </row>
    <row r="58" spans="2:21" outlineLevel="1">
      <c r="B58" s="292" t="s">
        <v>36</v>
      </c>
      <c r="C58" s="359"/>
      <c r="D58" s="304"/>
    </row>
    <row r="59" spans="2:21" outlineLevel="1">
      <c r="B59" s="353" t="s">
        <v>37</v>
      </c>
      <c r="C59" s="311"/>
      <c r="D59" s="354">
        <f>Inputs!R112</f>
        <v>55681731.536997408</v>
      </c>
    </row>
    <row r="60" spans="2:21" outlineLevel="1">
      <c r="B60" s="355" t="s">
        <v>38</v>
      </c>
      <c r="C60" s="311"/>
      <c r="D60" s="356">
        <f ca="1">Inputs!R111</f>
        <v>5.7070244581828244E-2</v>
      </c>
    </row>
    <row r="61" spans="2:21" ht="17.25" customHeight="1" outlineLevel="1">
      <c r="B61" s="351" t="s">
        <v>39</v>
      </c>
      <c r="C61" s="312"/>
      <c r="D61" s="352">
        <f ca="1">Inputs!Q104</f>
        <v>0.14394027590751651</v>
      </c>
    </row>
    <row r="62" spans="2:21" outlineLevel="1">
      <c r="B62" s="351"/>
      <c r="C62" s="312"/>
      <c r="D62" s="352"/>
    </row>
    <row r="63" spans="2:21" outlineLevel="1">
      <c r="B63" s="365" t="s">
        <v>48</v>
      </c>
      <c r="C63" s="366"/>
      <c r="D63" s="367"/>
    </row>
    <row r="64" spans="2:21" outlineLevel="1">
      <c r="B64" s="368" t="s">
        <v>26</v>
      </c>
      <c r="C64" s="366"/>
      <c r="D64" s="369">
        <f>(D47-D30)/D47</f>
        <v>0.4</v>
      </c>
      <c r="G64" s="325"/>
    </row>
    <row r="65" spans="2:7" outlineLevel="1">
      <c r="B65" s="368" t="s">
        <v>31</v>
      </c>
      <c r="C65" s="370"/>
      <c r="D65" s="371">
        <f ca="1">(SUM(Inputs!S49,Inputs!S51)-SUM(Inputs!L49,Inputs!L51))/SUM(Inputs!S49,Inputs!S51)</f>
        <v>0.1030525202071261</v>
      </c>
      <c r="G65" s="325"/>
    </row>
    <row r="66" spans="2:7" outlineLevel="1">
      <c r="B66" s="368" t="s">
        <v>49</v>
      </c>
      <c r="C66" s="366"/>
      <c r="D66" s="372">
        <f ca="1">D44-D61</f>
        <v>2.798976898193356E-2</v>
      </c>
      <c r="G66" s="325"/>
    </row>
    <row r="67" spans="2:7" ht="15" outlineLevel="1" thickBot="1">
      <c r="B67" s="373" t="s">
        <v>50</v>
      </c>
      <c r="C67" s="374"/>
      <c r="D67" s="375">
        <f ca="1">(D44-D61)/D61</f>
        <v>0.19445404564819196</v>
      </c>
    </row>
    <row r="68" spans="2:7" outlineLevel="1"/>
    <row r="69" spans="2:7" outlineLevel="1"/>
    <row r="70" spans="2:7" outlineLevel="1"/>
    <row r="71" spans="2:7" outlineLevel="1"/>
    <row r="72" spans="2:7" outlineLevel="1"/>
    <row r="73" spans="2:7" outlineLevel="1"/>
    <row r="74" spans="2:7" outlineLevel="1"/>
    <row r="75" spans="2:7" outlineLevel="1"/>
    <row r="76" spans="2:7" outlineLevel="1"/>
    <row r="77" spans="2:7" outlineLevel="1"/>
    <row r="78" spans="2:7" outlineLevel="1"/>
    <row r="79" spans="2:7" outlineLevel="1"/>
  </sheetData>
  <mergeCells count="12">
    <mergeCell ref="B7:D7"/>
    <mergeCell ref="G7:H7"/>
    <mergeCell ref="I7:J7"/>
    <mergeCell ref="K7:L7"/>
    <mergeCell ref="M7:N7"/>
    <mergeCell ref="Q52:U54"/>
    <mergeCell ref="Q55:U57"/>
    <mergeCell ref="G50:G56"/>
    <mergeCell ref="I48:O48"/>
    <mergeCell ref="S7:U7"/>
    <mergeCell ref="O7:P7"/>
    <mergeCell ref="Q7:R7"/>
  </mergeCells>
  <phoneticPr fontId="12" type="noConversion"/>
  <conditionalFormatting sqref="I50:O56">
    <cfRule type="cellIs" dxfId="0" priority="1" operator="greaterThan">
      <formula>0</formula>
    </cfRule>
  </conditionalFormatting>
  <dataValidations disablePrompts="1" count="1">
    <dataValidation type="list" allowBlank="1" showInputMessage="1" showErrorMessage="1" sqref="S48:T48" xr:uid="{399CFEE9-CFFB-4F8A-8E6A-24901DA69889}">
      <formula1>"On, Off"</formula1>
    </dataValidation>
  </dataValidations>
  <pageMargins left="0.7" right="0.7" top="0.75" bottom="0.75" header="0.3" footer="0.3"/>
  <pageSetup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8BB4F-8403-4763-8522-D6ED49727D16}">
  <sheetPr>
    <tabColor theme="4"/>
  </sheetPr>
  <dimension ref="A4:AG117"/>
  <sheetViews>
    <sheetView showGridLines="0" zoomScale="80" zoomScaleNormal="80" workbookViewId="0">
      <selection activeCell="C15" sqref="C15"/>
    </sheetView>
  </sheetViews>
  <sheetFormatPr baseColWidth="10" defaultColWidth="8.83203125" defaultRowHeight="14"/>
  <cols>
    <col min="1" max="1" width="40.5" style="119" customWidth="1"/>
    <col min="2" max="2" width="16.83203125" style="119" customWidth="1"/>
    <col min="3" max="3" width="16.5" style="119" bestFit="1" customWidth="1"/>
    <col min="4" max="4" width="12.5" style="119" bestFit="1" customWidth="1"/>
    <col min="5" max="5" width="19" style="119" bestFit="1" customWidth="1"/>
    <col min="6" max="6" width="22.83203125" style="119" customWidth="1"/>
    <col min="7" max="7" width="6" style="119" bestFit="1" customWidth="1"/>
    <col min="8" max="8" width="4.1640625" style="119" customWidth="1"/>
    <col min="9" max="9" width="35" style="119" bestFit="1" customWidth="1"/>
    <col min="10" max="10" width="13.5" style="119" bestFit="1" customWidth="1"/>
    <col min="11" max="11" width="13.6640625" style="119" bestFit="1" customWidth="1"/>
    <col min="12" max="12" width="14.5" style="119" bestFit="1" customWidth="1"/>
    <col min="13" max="13" width="4.1640625" style="119" customWidth="1"/>
    <col min="14" max="14" width="4.33203125" style="119" customWidth="1"/>
    <col min="15" max="15" width="4" style="119" customWidth="1"/>
    <col min="16" max="16" width="35" style="119" bestFit="1" customWidth="1"/>
    <col min="17" max="17" width="14.6640625" style="119" customWidth="1"/>
    <col min="18" max="18" width="13.6640625" style="119" bestFit="1" customWidth="1"/>
    <col min="19" max="19" width="21.33203125" style="119" bestFit="1" customWidth="1"/>
    <col min="20" max="20" width="4.1640625" style="119" customWidth="1"/>
    <col min="21" max="21" width="5.1640625" style="119" customWidth="1"/>
    <col min="22" max="22" width="31.83203125" style="119" bestFit="1" customWidth="1"/>
    <col min="23" max="23" width="13.83203125" style="119" bestFit="1" customWidth="1"/>
    <col min="24" max="24" width="15.5" style="119" bestFit="1" customWidth="1"/>
    <col min="25" max="25" width="13.1640625" style="119" bestFit="1" customWidth="1"/>
    <col min="26" max="26" width="15.83203125" style="119" bestFit="1" customWidth="1"/>
    <col min="27" max="27" width="13.5" style="119" bestFit="1" customWidth="1"/>
    <col min="28" max="28" width="13.33203125" style="119" bestFit="1" customWidth="1"/>
    <col min="29" max="31" width="13.1640625" style="119" bestFit="1" customWidth="1"/>
    <col min="32" max="32" width="13.5" style="119" bestFit="1" customWidth="1"/>
    <col min="33" max="16384" width="8.83203125" style="119"/>
  </cols>
  <sheetData>
    <row r="4" spans="1:33" ht="15" thickBot="1"/>
    <row r="5" spans="1:33" s="107" customFormat="1" ht="20" thickBot="1">
      <c r="A5" s="326" t="s">
        <v>51</v>
      </c>
      <c r="B5" s="398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6"/>
    </row>
    <row r="6" spans="1:33" ht="19">
      <c r="A6" s="108" t="s">
        <v>52</v>
      </c>
      <c r="B6" s="167"/>
      <c r="C6" s="109"/>
      <c r="D6" s="109"/>
      <c r="E6" s="109"/>
      <c r="F6" s="110"/>
      <c r="G6" s="311"/>
      <c r="H6" s="111"/>
      <c r="I6" s="472" t="s">
        <v>53</v>
      </c>
      <c r="J6" s="472"/>
      <c r="K6" s="472"/>
      <c r="L6" s="472"/>
      <c r="M6" s="112"/>
      <c r="N6" s="311"/>
      <c r="O6" s="113"/>
      <c r="P6" s="473" t="s">
        <v>54</v>
      </c>
      <c r="Q6" s="473"/>
      <c r="R6" s="473"/>
      <c r="S6" s="473"/>
      <c r="T6" s="114"/>
      <c r="U6" s="311"/>
      <c r="V6" s="115" t="s">
        <v>55</v>
      </c>
      <c r="W6" s="116">
        <v>1</v>
      </c>
      <c r="X6" s="116">
        <v>2</v>
      </c>
      <c r="Y6" s="116">
        <v>3</v>
      </c>
      <c r="Z6" s="116">
        <v>4</v>
      </c>
      <c r="AA6" s="116">
        <v>5</v>
      </c>
      <c r="AB6" s="116">
        <v>6</v>
      </c>
      <c r="AC6" s="116">
        <v>7</v>
      </c>
      <c r="AD6" s="116">
        <v>8</v>
      </c>
      <c r="AE6" s="116">
        <v>9</v>
      </c>
      <c r="AF6" s="117">
        <v>10</v>
      </c>
      <c r="AG6" s="118"/>
    </row>
    <row r="7" spans="1:33">
      <c r="A7" s="120" t="s">
        <v>56</v>
      </c>
      <c r="B7" s="121"/>
      <c r="C7" s="121"/>
      <c r="D7" s="122"/>
      <c r="E7" s="122"/>
      <c r="F7" s="123" t="s">
        <v>314</v>
      </c>
      <c r="G7" s="311"/>
      <c r="H7" s="124"/>
      <c r="I7" s="125" t="s">
        <v>57</v>
      </c>
      <c r="J7" s="126"/>
      <c r="K7" s="126"/>
      <c r="L7" s="127"/>
      <c r="M7" s="128"/>
      <c r="N7" s="311"/>
      <c r="O7" s="129"/>
      <c r="P7" s="125" t="s">
        <v>57</v>
      </c>
      <c r="Q7" s="126"/>
      <c r="R7" s="126"/>
      <c r="S7" s="127"/>
      <c r="T7" s="130"/>
      <c r="U7" s="426"/>
      <c r="V7" s="131"/>
      <c r="W7" s="132"/>
      <c r="X7" s="133"/>
      <c r="Y7" s="133"/>
      <c r="Z7" s="133"/>
      <c r="AA7" s="133"/>
      <c r="AB7" s="133"/>
      <c r="AC7" s="133"/>
      <c r="AD7" s="133"/>
      <c r="AE7" s="133"/>
      <c r="AF7" s="134"/>
      <c r="AG7" s="118"/>
    </row>
    <row r="8" spans="1:33">
      <c r="A8" s="135" t="s">
        <v>58</v>
      </c>
      <c r="B8" s="311"/>
      <c r="C8" s="311"/>
      <c r="D8" s="311"/>
      <c r="E8" s="311"/>
      <c r="F8" s="136">
        <f>K14</f>
        <v>120000</v>
      </c>
      <c r="G8" s="311"/>
      <c r="H8" s="124"/>
      <c r="I8" s="137" t="s">
        <v>59</v>
      </c>
      <c r="J8" s="122"/>
      <c r="K8" s="138">
        <v>0</v>
      </c>
      <c r="L8" s="139" t="s">
        <v>60</v>
      </c>
      <c r="M8" s="128"/>
      <c r="N8" s="311"/>
      <c r="O8" s="129"/>
      <c r="P8" s="137" t="s">
        <v>59</v>
      </c>
      <c r="Q8" s="122"/>
      <c r="R8" s="138">
        <v>0</v>
      </c>
      <c r="S8" s="139" t="s">
        <v>60</v>
      </c>
      <c r="T8" s="130"/>
      <c r="U8" s="311"/>
      <c r="V8" s="140" t="s">
        <v>61</v>
      </c>
      <c r="W8" s="141">
        <f>F30</f>
        <v>3624000</v>
      </c>
      <c r="X8" s="141">
        <f>W8*(1+$F$19)</f>
        <v>3714599.9999999995</v>
      </c>
      <c r="Y8" s="141">
        <f t="shared" ref="Y8:AF8" si="0">X8*(1+$F$19)</f>
        <v>3807464.9999999991</v>
      </c>
      <c r="Z8" s="141">
        <f t="shared" si="0"/>
        <v>3902651.6249999986</v>
      </c>
      <c r="AA8" s="141">
        <f t="shared" si="0"/>
        <v>4000217.915624998</v>
      </c>
      <c r="AB8" s="141">
        <f t="shared" si="0"/>
        <v>4100223.3635156224</v>
      </c>
      <c r="AC8" s="141">
        <f t="shared" si="0"/>
        <v>4202728.9476035126</v>
      </c>
      <c r="AD8" s="141">
        <f t="shared" si="0"/>
        <v>4307797.1712935995</v>
      </c>
      <c r="AE8" s="141">
        <f t="shared" si="0"/>
        <v>4415492.1005759388</v>
      </c>
      <c r="AF8" s="142">
        <f t="shared" si="0"/>
        <v>4525879.4030903373</v>
      </c>
      <c r="AG8" s="118"/>
    </row>
    <row r="9" spans="1:33">
      <c r="A9" s="135" t="s">
        <v>9</v>
      </c>
      <c r="B9" s="311"/>
      <c r="C9" s="311"/>
      <c r="D9" s="311"/>
      <c r="E9" s="311"/>
      <c r="F9" s="136">
        <f>K16</f>
        <v>100000</v>
      </c>
      <c r="G9" s="311"/>
      <c r="H9" s="124"/>
      <c r="I9" s="143" t="s">
        <v>10</v>
      </c>
      <c r="J9" s="311"/>
      <c r="K9" s="144">
        <v>20000</v>
      </c>
      <c r="L9" s="145" t="s">
        <v>60</v>
      </c>
      <c r="M9" s="128"/>
      <c r="N9" s="311"/>
      <c r="O9" s="129"/>
      <c r="P9" s="143" t="s">
        <v>10</v>
      </c>
      <c r="Q9" s="311"/>
      <c r="R9" s="144">
        <v>20000</v>
      </c>
      <c r="S9" s="145" t="s">
        <v>60</v>
      </c>
      <c r="T9" s="130"/>
      <c r="U9" s="311"/>
      <c r="V9" s="140" t="s">
        <v>62</v>
      </c>
      <c r="W9" s="141">
        <f>F32</f>
        <v>144000</v>
      </c>
      <c r="X9" s="141">
        <f t="shared" ref="X9:AF10" si="1">W9*(1+$F$20)</f>
        <v>146880</v>
      </c>
      <c r="Y9" s="141">
        <f t="shared" si="1"/>
        <v>149817.60000000001</v>
      </c>
      <c r="Z9" s="141">
        <f t="shared" si="1"/>
        <v>152813.95200000002</v>
      </c>
      <c r="AA9" s="141">
        <f t="shared" si="1"/>
        <v>155870.23104000001</v>
      </c>
      <c r="AB9" s="141">
        <f t="shared" si="1"/>
        <v>158987.63566080001</v>
      </c>
      <c r="AC9" s="141">
        <f t="shared" si="1"/>
        <v>162167.38837401601</v>
      </c>
      <c r="AD9" s="141">
        <f t="shared" si="1"/>
        <v>165410.73614149634</v>
      </c>
      <c r="AE9" s="141">
        <f t="shared" si="1"/>
        <v>168718.95086432627</v>
      </c>
      <c r="AF9" s="142">
        <f t="shared" si="1"/>
        <v>172093.32988161279</v>
      </c>
      <c r="AG9" s="118"/>
    </row>
    <row r="10" spans="1:33">
      <c r="A10" s="135" t="s">
        <v>10</v>
      </c>
      <c r="B10" s="311"/>
      <c r="C10" s="311"/>
      <c r="D10" s="311"/>
      <c r="E10" s="311"/>
      <c r="F10" s="136">
        <f>F8-F9</f>
        <v>20000</v>
      </c>
      <c r="G10" s="311"/>
      <c r="H10" s="124"/>
      <c r="I10" s="143" t="s">
        <v>63</v>
      </c>
      <c r="J10" s="311"/>
      <c r="K10" s="427">
        <v>1</v>
      </c>
      <c r="L10" s="145" t="s">
        <v>64</v>
      </c>
      <c r="M10" s="128"/>
      <c r="N10" s="311"/>
      <c r="O10" s="129"/>
      <c r="P10" s="143" t="s">
        <v>63</v>
      </c>
      <c r="Q10" s="311"/>
      <c r="R10" s="427">
        <v>6</v>
      </c>
      <c r="S10" s="145" t="s">
        <v>64</v>
      </c>
      <c r="T10" s="130"/>
      <c r="U10" s="311"/>
      <c r="V10" s="140" t="s">
        <v>65</v>
      </c>
      <c r="W10" s="141">
        <f>F33</f>
        <v>64000</v>
      </c>
      <c r="X10" s="141">
        <f t="shared" si="1"/>
        <v>65280</v>
      </c>
      <c r="Y10" s="141">
        <f t="shared" ref="Y10" si="2">X10*(1+$F$20)</f>
        <v>66585.600000000006</v>
      </c>
      <c r="Z10" s="141">
        <f t="shared" ref="Z10" si="3">Y10*(1+$F$20)</f>
        <v>67917.312000000005</v>
      </c>
      <c r="AA10" s="141">
        <f t="shared" ref="AA10" si="4">Z10*(1+$F$20)</f>
        <v>69275.658240000004</v>
      </c>
      <c r="AB10" s="141">
        <f t="shared" ref="AB10" si="5">AA10*(1+$F$20)</f>
        <v>70661.171404799999</v>
      </c>
      <c r="AC10" s="141">
        <f t="shared" ref="AC10" si="6">AB10*(1+$F$20)</f>
        <v>72074.394832895996</v>
      </c>
      <c r="AD10" s="141">
        <f t="shared" ref="AD10" si="7">AC10*(1+$F$20)</f>
        <v>73515.882729553923</v>
      </c>
      <c r="AE10" s="141">
        <f t="shared" ref="AE10" si="8">AD10*(1+$F$20)</f>
        <v>74986.200384145006</v>
      </c>
      <c r="AF10" s="142">
        <f t="shared" ref="AF10" si="9">AE10*(1+$F$20)</f>
        <v>76485.92439182791</v>
      </c>
      <c r="AG10" s="118"/>
    </row>
    <row r="11" spans="1:33">
      <c r="A11" s="148" t="s">
        <v>66</v>
      </c>
      <c r="B11" s="149"/>
      <c r="C11" s="149"/>
      <c r="D11" s="149"/>
      <c r="E11" s="149"/>
      <c r="F11" s="150">
        <f>E25</f>
        <v>4.2857142857142856</v>
      </c>
      <c r="G11" s="311"/>
      <c r="H11" s="124"/>
      <c r="I11" s="143" t="s">
        <v>67</v>
      </c>
      <c r="J11" s="311"/>
      <c r="K11" s="144">
        <v>20000</v>
      </c>
      <c r="L11" s="145" t="s">
        <v>60</v>
      </c>
      <c r="M11" s="128"/>
      <c r="N11" s="311"/>
      <c r="O11" s="129"/>
      <c r="P11" s="143" t="s">
        <v>67</v>
      </c>
      <c r="Q11" s="311"/>
      <c r="R11" s="144">
        <v>0</v>
      </c>
      <c r="S11" s="145" t="s">
        <v>60</v>
      </c>
      <c r="T11" s="130"/>
      <c r="U11" s="426"/>
      <c r="V11" s="140" t="s">
        <v>68</v>
      </c>
      <c r="W11" s="141">
        <f>F34</f>
        <v>192000</v>
      </c>
      <c r="X11" s="141">
        <f t="shared" ref="X11" si="10">W11*(1+$F$20)</f>
        <v>195840</v>
      </c>
      <c r="Y11" s="141">
        <f t="shared" ref="Y11" si="11">X11*(1+$F$20)</f>
        <v>199756.80000000002</v>
      </c>
      <c r="Z11" s="141">
        <f t="shared" ref="Z11" si="12">Y11*(1+$F$20)</f>
        <v>203751.93600000002</v>
      </c>
      <c r="AA11" s="141">
        <f t="shared" ref="AA11" si="13">Z11*(1+$F$20)</f>
        <v>207826.97472000003</v>
      </c>
      <c r="AB11" s="141">
        <f t="shared" ref="AB11" si="14">AA11*(1+$F$20)</f>
        <v>211983.51421440003</v>
      </c>
      <c r="AC11" s="141">
        <f t="shared" ref="AC11" si="15">AB11*(1+$F$20)</f>
        <v>216223.18449868803</v>
      </c>
      <c r="AD11" s="141">
        <f t="shared" ref="AD11" si="16">AC11*(1+$F$20)</f>
        <v>220547.64818866178</v>
      </c>
      <c r="AE11" s="141">
        <f t="shared" ref="AE11" si="17">AD11*(1+$F$20)</f>
        <v>224958.60115243503</v>
      </c>
      <c r="AF11" s="142">
        <f t="shared" ref="AF11" si="18">AE11*(1+$F$20)</f>
        <v>229457.77317548374</v>
      </c>
      <c r="AG11" s="118"/>
    </row>
    <row r="12" spans="1:33">
      <c r="A12" s="135"/>
      <c r="B12" s="311"/>
      <c r="C12" s="311"/>
      <c r="D12" s="311"/>
      <c r="E12" s="311"/>
      <c r="F12" s="427"/>
      <c r="G12" s="311"/>
      <c r="H12" s="124"/>
      <c r="I12" s="153" t="s">
        <v>69</v>
      </c>
      <c r="J12" s="149"/>
      <c r="K12" s="154">
        <v>5</v>
      </c>
      <c r="L12" s="155" t="s">
        <v>64</v>
      </c>
      <c r="M12" s="128"/>
      <c r="N12" s="311"/>
      <c r="O12" s="129"/>
      <c r="P12" s="153" t="s">
        <v>69</v>
      </c>
      <c r="Q12" s="149"/>
      <c r="R12" s="154">
        <v>0</v>
      </c>
      <c r="S12" s="155" t="s">
        <v>64</v>
      </c>
      <c r="T12" s="130"/>
      <c r="U12" s="311"/>
      <c r="V12" s="146" t="s">
        <v>70</v>
      </c>
      <c r="W12" s="147">
        <f>F35</f>
        <v>48000</v>
      </c>
      <c r="X12" s="141">
        <f t="shared" ref="X12:AF12" si="19">W12*(1+$F$20)</f>
        <v>48960</v>
      </c>
      <c r="Y12" s="141">
        <f t="shared" si="19"/>
        <v>49939.200000000004</v>
      </c>
      <c r="Z12" s="141">
        <f t="shared" si="19"/>
        <v>50937.984000000004</v>
      </c>
      <c r="AA12" s="141">
        <f t="shared" si="19"/>
        <v>51956.743680000007</v>
      </c>
      <c r="AB12" s="141">
        <f t="shared" si="19"/>
        <v>52995.878553600007</v>
      </c>
      <c r="AC12" s="141">
        <f t="shared" si="19"/>
        <v>54055.796124672008</v>
      </c>
      <c r="AD12" s="141">
        <f t="shared" si="19"/>
        <v>55136.912047165446</v>
      </c>
      <c r="AE12" s="141">
        <f t="shared" si="19"/>
        <v>56239.650288108758</v>
      </c>
      <c r="AF12" s="142">
        <f t="shared" si="19"/>
        <v>57364.443293870936</v>
      </c>
      <c r="AG12" s="118"/>
    </row>
    <row r="13" spans="1:33">
      <c r="A13" s="313" t="s">
        <v>71</v>
      </c>
      <c r="B13" s="156"/>
      <c r="C13" s="156"/>
      <c r="D13" s="156"/>
      <c r="E13" s="156"/>
      <c r="F13" s="157"/>
      <c r="G13" s="311"/>
      <c r="H13" s="124"/>
      <c r="I13" s="153" t="s">
        <v>26</v>
      </c>
      <c r="J13" s="149"/>
      <c r="K13" s="154">
        <v>12</v>
      </c>
      <c r="L13" s="155" t="s">
        <v>72</v>
      </c>
      <c r="M13" s="128"/>
      <c r="N13" s="311"/>
      <c r="O13" s="129"/>
      <c r="P13" s="153" t="s">
        <v>26</v>
      </c>
      <c r="Q13" s="149"/>
      <c r="R13" s="154">
        <v>20</v>
      </c>
      <c r="S13" s="155" t="s">
        <v>72</v>
      </c>
      <c r="T13" s="130"/>
      <c r="U13" s="426"/>
      <c r="V13" s="151" t="s">
        <v>73</v>
      </c>
      <c r="W13" s="132">
        <f t="shared" ref="W13:AF13" si="20">SUM(W8:W12)</f>
        <v>4072000</v>
      </c>
      <c r="X13" s="132">
        <f t="shared" si="20"/>
        <v>4171559.9999999995</v>
      </c>
      <c r="Y13" s="132">
        <f t="shared" si="20"/>
        <v>4273564.1999999993</v>
      </c>
      <c r="Z13" s="132">
        <f t="shared" si="20"/>
        <v>4378072.8089999985</v>
      </c>
      <c r="AA13" s="132">
        <f t="shared" si="20"/>
        <v>4485147.5233049989</v>
      </c>
      <c r="AB13" s="132">
        <f t="shared" si="20"/>
        <v>4594851.5633492228</v>
      </c>
      <c r="AC13" s="132">
        <f t="shared" si="20"/>
        <v>4707249.7114337841</v>
      </c>
      <c r="AD13" s="132">
        <f t="shared" si="20"/>
        <v>4822408.3504004767</v>
      </c>
      <c r="AE13" s="132">
        <f t="shared" si="20"/>
        <v>4940395.5032649534</v>
      </c>
      <c r="AF13" s="152">
        <f t="shared" si="20"/>
        <v>5061280.8738331329</v>
      </c>
      <c r="AG13" s="118"/>
    </row>
    <row r="14" spans="1:33">
      <c r="A14" s="314" t="s">
        <v>74</v>
      </c>
      <c r="B14" s="158"/>
      <c r="C14" s="158"/>
      <c r="D14" s="158"/>
      <c r="E14" s="158"/>
      <c r="F14" s="159"/>
      <c r="G14" s="311"/>
      <c r="H14" s="124"/>
      <c r="I14" s="160" t="s">
        <v>75</v>
      </c>
      <c r="J14" s="149"/>
      <c r="K14" s="161">
        <f>K9*K10+K16</f>
        <v>120000</v>
      </c>
      <c r="L14" s="155" t="s">
        <v>60</v>
      </c>
      <c r="M14" s="128"/>
      <c r="N14" s="311"/>
      <c r="O14" s="129"/>
      <c r="P14" s="160" t="s">
        <v>75</v>
      </c>
      <c r="Q14" s="149"/>
      <c r="R14" s="161">
        <f>R9*R10+R16</f>
        <v>120000</v>
      </c>
      <c r="S14" s="155" t="s">
        <v>60</v>
      </c>
      <c r="T14" s="130"/>
      <c r="U14" s="311"/>
      <c r="V14" s="143"/>
      <c r="W14" s="141"/>
      <c r="X14" s="141"/>
      <c r="Y14" s="141"/>
      <c r="Z14" s="141"/>
      <c r="AA14" s="141"/>
      <c r="AB14" s="141"/>
      <c r="AC14" s="141"/>
      <c r="AD14" s="141"/>
      <c r="AE14" s="141"/>
      <c r="AF14" s="142"/>
      <c r="AG14" s="118"/>
    </row>
    <row r="15" spans="1:33">
      <c r="A15" s="148" t="s">
        <v>76</v>
      </c>
      <c r="B15" s="149"/>
      <c r="C15" s="149"/>
      <c r="D15" s="149"/>
      <c r="E15" s="149"/>
      <c r="F15" s="165">
        <v>12</v>
      </c>
      <c r="G15" s="311"/>
      <c r="H15" s="124"/>
      <c r="I15" s="160" t="s">
        <v>77</v>
      </c>
      <c r="J15" s="149"/>
      <c r="K15" s="161">
        <f>K9*K10</f>
        <v>20000</v>
      </c>
      <c r="L15" s="155" t="s">
        <v>60</v>
      </c>
      <c r="M15" s="128"/>
      <c r="N15" s="311"/>
      <c r="O15" s="129"/>
      <c r="P15" s="160" t="s">
        <v>77</v>
      </c>
      <c r="Q15" s="149"/>
      <c r="R15" s="161">
        <f>R9*R10</f>
        <v>120000</v>
      </c>
      <c r="S15" s="155" t="s">
        <v>60</v>
      </c>
      <c r="T15" s="130"/>
      <c r="U15" s="311"/>
      <c r="V15" s="143" t="s">
        <v>78</v>
      </c>
      <c r="W15" s="141">
        <f>-SUM(F40:F41)</f>
        <v>-575285.71428571432</v>
      </c>
      <c r="X15" s="141">
        <f t="shared" ref="X15:AF15" si="21">W15*(1+$F$21)</f>
        <v>-586791.42857142864</v>
      </c>
      <c r="Y15" s="141">
        <f t="shared" si="21"/>
        <v>-598527.25714285718</v>
      </c>
      <c r="Z15" s="141">
        <f t="shared" si="21"/>
        <v>-610497.80228571431</v>
      </c>
      <c r="AA15" s="141">
        <f t="shared" si="21"/>
        <v>-622707.75833142863</v>
      </c>
      <c r="AB15" s="141">
        <f t="shared" si="21"/>
        <v>-635161.91349805717</v>
      </c>
      <c r="AC15" s="141">
        <f t="shared" si="21"/>
        <v>-647865.15176801838</v>
      </c>
      <c r="AD15" s="141">
        <f t="shared" si="21"/>
        <v>-660822.45480337879</v>
      </c>
      <c r="AE15" s="141">
        <f t="shared" si="21"/>
        <v>-674038.90389944636</v>
      </c>
      <c r="AF15" s="142">
        <f t="shared" si="21"/>
        <v>-687519.68197743525</v>
      </c>
      <c r="AG15" s="118"/>
    </row>
    <row r="16" spans="1:33">
      <c r="A16" s="135" t="s">
        <v>79</v>
      </c>
      <c r="B16" s="311"/>
      <c r="C16" s="311"/>
      <c r="D16" s="311"/>
      <c r="E16" s="311"/>
      <c r="F16" s="163">
        <v>0.05</v>
      </c>
      <c r="G16" s="311"/>
      <c r="H16" s="124"/>
      <c r="I16" s="160" t="s">
        <v>80</v>
      </c>
      <c r="J16" s="149"/>
      <c r="K16" s="161">
        <f>K11*K12</f>
        <v>100000</v>
      </c>
      <c r="L16" s="155" t="s">
        <v>60</v>
      </c>
      <c r="M16" s="128"/>
      <c r="N16" s="311"/>
      <c r="O16" s="129"/>
      <c r="P16" s="160" t="s">
        <v>80</v>
      </c>
      <c r="Q16" s="149"/>
      <c r="R16" s="161">
        <f>R11*R12</f>
        <v>0</v>
      </c>
      <c r="S16" s="155" t="s">
        <v>60</v>
      </c>
      <c r="T16" s="130"/>
      <c r="U16" s="428"/>
      <c r="V16" s="143" t="s">
        <v>81</v>
      </c>
      <c r="W16" s="141">
        <f>-SUM(F43:F49)</f>
        <v>-913360</v>
      </c>
      <c r="X16" s="141">
        <f t="shared" ref="X16:AF16" si="22">W16*(1+$F$21)</f>
        <v>-931627.20000000007</v>
      </c>
      <c r="Y16" s="141">
        <f t="shared" si="22"/>
        <v>-950259.74400000006</v>
      </c>
      <c r="Z16" s="141">
        <f t="shared" si="22"/>
        <v>-969264.93888000003</v>
      </c>
      <c r="AA16" s="141">
        <f t="shared" si="22"/>
        <v>-988650.23765760008</v>
      </c>
      <c r="AB16" s="141">
        <f t="shared" si="22"/>
        <v>-1008423.2424107521</v>
      </c>
      <c r="AC16" s="141">
        <f t="shared" si="22"/>
        <v>-1028591.7072589672</v>
      </c>
      <c r="AD16" s="141">
        <f t="shared" si="22"/>
        <v>-1049163.5414041465</v>
      </c>
      <c r="AE16" s="141">
        <f t="shared" si="22"/>
        <v>-1070146.8122322294</v>
      </c>
      <c r="AF16" s="142">
        <f t="shared" si="22"/>
        <v>-1091549.7484768741</v>
      </c>
      <c r="AG16" s="118"/>
    </row>
    <row r="17" spans="1:33">
      <c r="A17" s="135" t="s">
        <v>82</v>
      </c>
      <c r="B17" s="311"/>
      <c r="C17" s="311"/>
      <c r="D17" s="311"/>
      <c r="E17" s="311"/>
      <c r="F17" s="163">
        <v>0.03</v>
      </c>
      <c r="G17" s="311"/>
      <c r="H17" s="124"/>
      <c r="I17" s="429"/>
      <c r="J17" s="429"/>
      <c r="K17" s="429"/>
      <c r="L17" s="429"/>
      <c r="M17" s="128"/>
      <c r="N17" s="311"/>
      <c r="O17" s="129"/>
      <c r="P17" s="430"/>
      <c r="Q17" s="430"/>
      <c r="R17" s="430"/>
      <c r="S17" s="430"/>
      <c r="T17" s="130"/>
      <c r="U17" s="431"/>
      <c r="V17" s="153" t="s">
        <v>83</v>
      </c>
      <c r="W17" s="147">
        <f t="shared" ref="W17:AF17" si="23">-$D$51*W13</f>
        <v>-81440</v>
      </c>
      <c r="X17" s="147">
        <f t="shared" si="23"/>
        <v>-83431.199999999997</v>
      </c>
      <c r="Y17" s="147">
        <f t="shared" si="23"/>
        <v>-85471.283999999985</v>
      </c>
      <c r="Z17" s="147">
        <f t="shared" si="23"/>
        <v>-87561.456179999965</v>
      </c>
      <c r="AA17" s="147">
        <f t="shared" si="23"/>
        <v>-89702.950466099981</v>
      </c>
      <c r="AB17" s="147">
        <f t="shared" si="23"/>
        <v>-91897.031266984457</v>
      </c>
      <c r="AC17" s="147">
        <f t="shared" si="23"/>
        <v>-94144.994228675685</v>
      </c>
      <c r="AD17" s="147">
        <f t="shared" si="23"/>
        <v>-96448.167008009535</v>
      </c>
      <c r="AE17" s="147">
        <f t="shared" si="23"/>
        <v>-98807.910065299075</v>
      </c>
      <c r="AF17" s="162">
        <f t="shared" si="23"/>
        <v>-101225.61747666266</v>
      </c>
      <c r="AG17" s="118"/>
    </row>
    <row r="18" spans="1:33">
      <c r="A18" s="314" t="s">
        <v>84</v>
      </c>
      <c r="B18" s="158"/>
      <c r="C18" s="158"/>
      <c r="D18" s="158"/>
      <c r="E18" s="158"/>
      <c r="F18" s="159"/>
      <c r="G18" s="311"/>
      <c r="H18" s="124"/>
      <c r="I18" s="166" t="s">
        <v>29</v>
      </c>
      <c r="J18" s="167"/>
      <c r="K18" s="167" t="s">
        <v>85</v>
      </c>
      <c r="L18" s="168" t="s">
        <v>86</v>
      </c>
      <c r="M18" s="128"/>
      <c r="N18" s="311"/>
      <c r="O18" s="129"/>
      <c r="P18" s="166" t="s">
        <v>29</v>
      </c>
      <c r="Q18" s="167"/>
      <c r="R18" s="167" t="s">
        <v>85</v>
      </c>
      <c r="S18" s="168" t="s">
        <v>86</v>
      </c>
      <c r="T18" s="130"/>
      <c r="U18" s="431"/>
      <c r="V18" s="164" t="s">
        <v>87</v>
      </c>
      <c r="W18" s="141">
        <f t="shared" ref="W18:AF18" si="24">SUM(W15:W17)</f>
        <v>-1570085.7142857143</v>
      </c>
      <c r="X18" s="141">
        <f t="shared" si="24"/>
        <v>-1601849.8285714288</v>
      </c>
      <c r="Y18" s="141">
        <f t="shared" si="24"/>
        <v>-1634258.2851428571</v>
      </c>
      <c r="Z18" s="141">
        <f t="shared" si="24"/>
        <v>-1667324.1973457143</v>
      </c>
      <c r="AA18" s="141">
        <f t="shared" si="24"/>
        <v>-1701060.9464551287</v>
      </c>
      <c r="AB18" s="141">
        <f t="shared" si="24"/>
        <v>-1735482.1871757938</v>
      </c>
      <c r="AC18" s="141">
        <f t="shared" si="24"/>
        <v>-1770601.8532556614</v>
      </c>
      <c r="AD18" s="141">
        <f t="shared" si="24"/>
        <v>-1806434.1632155348</v>
      </c>
      <c r="AE18" s="141">
        <f t="shared" si="24"/>
        <v>-1842993.6261969749</v>
      </c>
      <c r="AF18" s="142">
        <f t="shared" si="24"/>
        <v>-1880295.047930972</v>
      </c>
      <c r="AG18" s="118"/>
    </row>
    <row r="19" spans="1:33" ht="12.75" customHeight="1">
      <c r="A19" s="315" t="s">
        <v>88</v>
      </c>
      <c r="B19" s="122"/>
      <c r="C19" s="122"/>
      <c r="D19" s="122"/>
      <c r="E19" s="122"/>
      <c r="F19" s="174">
        <v>2.5000000000000001E-2</v>
      </c>
      <c r="G19" s="311"/>
      <c r="H19" s="124"/>
      <c r="I19" s="143" t="s">
        <v>89</v>
      </c>
      <c r="J19" s="475" t="str">
        <f>IF(Summary!$S$48="On","Turn off data table in 'Summary' tab to adjust individually","")</f>
        <v>Turn off data table in 'Summary' tab to adjust individually</v>
      </c>
      <c r="K19" s="395">
        <v>161.6</v>
      </c>
      <c r="L19" s="170">
        <f>K19*K16</f>
        <v>16160000</v>
      </c>
      <c r="M19" s="128"/>
      <c r="N19" s="311"/>
      <c r="O19" s="129"/>
      <c r="P19" s="143" t="s">
        <v>89</v>
      </c>
      <c r="Q19" s="475" t="str">
        <f>IF(Summary!$S$48="On","Turn off data table in 'Summary' tab to adjust individually","")</f>
        <v>Turn off data table in 'Summary' tab to adjust individually</v>
      </c>
      <c r="R19" s="395">
        <v>0</v>
      </c>
      <c r="S19" s="170">
        <f>R19*R16</f>
        <v>0</v>
      </c>
      <c r="T19" s="130"/>
      <c r="U19" s="431"/>
      <c r="V19" s="143"/>
      <c r="W19" s="141"/>
      <c r="X19" s="425"/>
      <c r="Y19" s="425"/>
      <c r="Z19" s="425"/>
      <c r="AA19" s="425"/>
      <c r="AB19" s="425"/>
      <c r="AC19" s="425"/>
      <c r="AD19" s="425"/>
      <c r="AE19" s="425"/>
      <c r="AF19" s="169"/>
      <c r="AG19" s="118"/>
    </row>
    <row r="20" spans="1:33">
      <c r="A20" s="135" t="s">
        <v>90</v>
      </c>
      <c r="B20" s="311"/>
      <c r="C20" s="311"/>
      <c r="D20" s="311"/>
      <c r="E20" s="311"/>
      <c r="F20" s="163">
        <v>0.02</v>
      </c>
      <c r="G20" s="311"/>
      <c r="H20" s="124"/>
      <c r="I20" s="143" t="s">
        <v>91</v>
      </c>
      <c r="J20" s="476"/>
      <c r="K20" s="395">
        <v>8.3000000000000007</v>
      </c>
      <c r="L20" s="170">
        <f>K20*K16</f>
        <v>830000.00000000012</v>
      </c>
      <c r="M20" s="128"/>
      <c r="N20" s="311"/>
      <c r="O20" s="129"/>
      <c r="P20" s="143" t="s">
        <v>91</v>
      </c>
      <c r="Q20" s="476"/>
      <c r="R20" s="395">
        <v>0</v>
      </c>
      <c r="S20" s="170">
        <f>R20*R16</f>
        <v>0</v>
      </c>
      <c r="T20" s="130"/>
      <c r="U20" s="431"/>
      <c r="V20" s="171" t="s">
        <v>92</v>
      </c>
      <c r="W20" s="172">
        <f t="shared" ref="W20:AF20" si="25">SUM(W13,W18)</f>
        <v>2501914.2857142854</v>
      </c>
      <c r="X20" s="172">
        <f t="shared" si="25"/>
        <v>2569710.1714285705</v>
      </c>
      <c r="Y20" s="172">
        <f t="shared" si="25"/>
        <v>2639305.9148571421</v>
      </c>
      <c r="Z20" s="172">
        <f t="shared" si="25"/>
        <v>2710748.6116542844</v>
      </c>
      <c r="AA20" s="172">
        <f t="shared" si="25"/>
        <v>2784086.5768498704</v>
      </c>
      <c r="AB20" s="172">
        <f t="shared" si="25"/>
        <v>2859369.3761734292</v>
      </c>
      <c r="AC20" s="172">
        <f t="shared" si="25"/>
        <v>2936647.8581781229</v>
      </c>
      <c r="AD20" s="172">
        <f t="shared" si="25"/>
        <v>3015974.187184942</v>
      </c>
      <c r="AE20" s="172">
        <f t="shared" si="25"/>
        <v>3097401.8770679785</v>
      </c>
      <c r="AF20" s="173">
        <f t="shared" si="25"/>
        <v>3180985.8259021612</v>
      </c>
      <c r="AG20" s="118"/>
    </row>
    <row r="21" spans="1:33" ht="12.75" customHeight="1">
      <c r="A21" s="148" t="s">
        <v>93</v>
      </c>
      <c r="B21" s="149"/>
      <c r="C21" s="149"/>
      <c r="D21" s="149"/>
      <c r="E21" s="149"/>
      <c r="F21" s="182">
        <v>0.02</v>
      </c>
      <c r="G21" s="311"/>
      <c r="H21" s="124"/>
      <c r="I21" s="143" t="s">
        <v>94</v>
      </c>
      <c r="J21" s="476"/>
      <c r="K21" s="395">
        <v>13.8</v>
      </c>
      <c r="L21" s="170">
        <f>K21*K16</f>
        <v>1380000</v>
      </c>
      <c r="M21" s="128"/>
      <c r="N21" s="311"/>
      <c r="O21" s="129"/>
      <c r="P21" s="143" t="s">
        <v>94</v>
      </c>
      <c r="Q21" s="476"/>
      <c r="R21" s="395">
        <v>0</v>
      </c>
      <c r="S21" s="170">
        <f>R21*R16</f>
        <v>0</v>
      </c>
      <c r="T21" s="130"/>
      <c r="U21" s="431"/>
      <c r="V21" s="432" t="s">
        <v>95</v>
      </c>
      <c r="W21" s="433">
        <f>-W18/W13</f>
        <v>0.38558097109177658</v>
      </c>
      <c r="X21" s="433">
        <f t="shared" ref="X21:AF21" si="26">-X18/X13</f>
        <v>0.38399299748090138</v>
      </c>
      <c r="Y21" s="433">
        <f t="shared" si="26"/>
        <v>0.38241107624938858</v>
      </c>
      <c r="Z21" s="433">
        <f t="shared" si="26"/>
        <v>0.38083519166657032</v>
      </c>
      <c r="AA21" s="433">
        <f t="shared" si="26"/>
        <v>0.37926532797780915</v>
      </c>
      <c r="AB21" s="433">
        <f t="shared" si="26"/>
        <v>0.37770146940520261</v>
      </c>
      <c r="AC21" s="433">
        <f t="shared" si="26"/>
        <v>0.37614360014828124</v>
      </c>
      <c r="AD21" s="433">
        <f t="shared" si="26"/>
        <v>0.37459170438470218</v>
      </c>
      <c r="AE21" s="433">
        <f t="shared" si="26"/>
        <v>0.37304576627093883</v>
      </c>
      <c r="AF21" s="433">
        <f t="shared" si="26"/>
        <v>0.37150576994296325</v>
      </c>
      <c r="AG21" s="118"/>
    </row>
    <row r="22" spans="1:33">
      <c r="A22" s="135"/>
      <c r="B22" s="311"/>
      <c r="C22" s="311"/>
      <c r="D22" s="311"/>
      <c r="E22" s="311"/>
      <c r="F22" s="311"/>
      <c r="G22" s="311"/>
      <c r="H22" s="124"/>
      <c r="I22" s="143" t="s">
        <v>96</v>
      </c>
      <c r="J22" s="476"/>
      <c r="K22" s="395">
        <v>65</v>
      </c>
      <c r="L22" s="170">
        <f>K22*K16</f>
        <v>6500000</v>
      </c>
      <c r="M22" s="128"/>
      <c r="N22" s="311"/>
      <c r="O22" s="129"/>
      <c r="P22" s="143" t="s">
        <v>96</v>
      </c>
      <c r="Q22" s="476"/>
      <c r="R22" s="395">
        <v>0</v>
      </c>
      <c r="S22" s="170">
        <f>R22*R16</f>
        <v>0</v>
      </c>
      <c r="T22" s="130"/>
      <c r="U22" s="43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118"/>
    </row>
    <row r="23" spans="1:33">
      <c r="A23" s="316" t="s">
        <v>97</v>
      </c>
      <c r="B23" s="399"/>
      <c r="C23" s="187"/>
      <c r="D23" s="187"/>
      <c r="E23" s="187"/>
      <c r="F23" s="188"/>
      <c r="G23" s="175"/>
      <c r="H23" s="124"/>
      <c r="I23" s="143" t="s">
        <v>63</v>
      </c>
      <c r="J23" s="476"/>
      <c r="K23" s="395">
        <v>270</v>
      </c>
      <c r="L23" s="170">
        <f>K23*K15</f>
        <v>5400000</v>
      </c>
      <c r="M23" s="128"/>
      <c r="N23" s="311"/>
      <c r="O23" s="129"/>
      <c r="P23" s="143" t="s">
        <v>63</v>
      </c>
      <c r="Q23" s="476"/>
      <c r="R23" s="395">
        <v>237.25</v>
      </c>
      <c r="S23" s="170">
        <f>R23*R15</f>
        <v>28470000</v>
      </c>
      <c r="T23" s="130"/>
      <c r="U23" s="311"/>
      <c r="V23" s="311"/>
      <c r="W23" s="311"/>
      <c r="X23" s="311"/>
      <c r="Y23" s="311"/>
      <c r="Z23" s="426"/>
      <c r="AA23" s="426"/>
      <c r="AB23" s="311"/>
      <c r="AC23" s="311"/>
      <c r="AD23" s="311"/>
      <c r="AE23" s="311"/>
      <c r="AF23" s="311"/>
      <c r="AG23" s="118"/>
    </row>
    <row r="24" spans="1:33">
      <c r="A24" s="314" t="s">
        <v>11</v>
      </c>
      <c r="B24" s="158" t="s">
        <v>98</v>
      </c>
      <c r="C24" s="158" t="s">
        <v>99</v>
      </c>
      <c r="D24" s="158" t="s">
        <v>100</v>
      </c>
      <c r="E24" s="158" t="s">
        <v>101</v>
      </c>
      <c r="F24" s="159" t="s">
        <v>102</v>
      </c>
      <c r="G24" s="311"/>
      <c r="H24" s="176"/>
      <c r="I24" s="153" t="s">
        <v>103</v>
      </c>
      <c r="J24" s="477"/>
      <c r="K24" s="177">
        <f>L24/K14</f>
        <v>7.083333333333333</v>
      </c>
      <c r="L24" s="178">
        <v>850000</v>
      </c>
      <c r="M24" s="179"/>
      <c r="N24" s="311"/>
      <c r="O24" s="180"/>
      <c r="P24" s="153" t="s">
        <v>103</v>
      </c>
      <c r="Q24" s="477"/>
      <c r="R24" s="177">
        <f>S24/R14</f>
        <v>7.083333333333333</v>
      </c>
      <c r="S24" s="178">
        <v>850000</v>
      </c>
      <c r="T24" s="181"/>
      <c r="U24" s="311"/>
      <c r="V24" s="434"/>
      <c r="W24" s="311"/>
      <c r="X24" s="311"/>
      <c r="Y24" s="311"/>
      <c r="Z24" s="311"/>
      <c r="AA24" s="311"/>
      <c r="AB24" s="311"/>
      <c r="AC24" s="311"/>
      <c r="AD24" s="311"/>
      <c r="AE24" s="311"/>
      <c r="AF24" s="311"/>
      <c r="AG24" s="118"/>
    </row>
    <row r="25" spans="1:33">
      <c r="A25" s="318" t="s">
        <v>104</v>
      </c>
      <c r="B25" s="192">
        <v>40</v>
      </c>
      <c r="C25" s="192">
        <v>350</v>
      </c>
      <c r="D25" s="204">
        <v>1500</v>
      </c>
      <c r="E25" s="407">
        <f>IFERROR(D25/C25,0)</f>
        <v>4.2857142857142856</v>
      </c>
      <c r="F25" s="408">
        <f t="shared" ref="F25:F30" si="27">D25*B25*12</f>
        <v>720000</v>
      </c>
      <c r="G25" s="311"/>
      <c r="H25" s="124"/>
      <c r="I25" s="164" t="s">
        <v>105</v>
      </c>
      <c r="J25" s="312"/>
      <c r="K25" s="435">
        <f>L25/K14</f>
        <v>259.33333333333331</v>
      </c>
      <c r="L25" s="183">
        <f>SUM(L19:L24)</f>
        <v>31120000</v>
      </c>
      <c r="M25" s="128"/>
      <c r="N25" s="311"/>
      <c r="O25" s="129"/>
      <c r="P25" s="164" t="s">
        <v>105</v>
      </c>
      <c r="Q25" s="312"/>
      <c r="R25" s="435">
        <f>S25/R14</f>
        <v>244.33333333333334</v>
      </c>
      <c r="S25" s="183">
        <f>SUM(S19:S24)</f>
        <v>29320000</v>
      </c>
      <c r="T25" s="130"/>
      <c r="U25" s="434"/>
      <c r="V25" s="311"/>
      <c r="W25" s="311"/>
      <c r="X25" s="311"/>
      <c r="Y25" s="311"/>
      <c r="Z25" s="311"/>
      <c r="AA25" s="311"/>
      <c r="AB25" s="311"/>
      <c r="AC25" s="311"/>
      <c r="AD25" s="311"/>
      <c r="AE25" s="311"/>
      <c r="AF25" s="311"/>
      <c r="AG25" s="118"/>
    </row>
    <row r="26" spans="1:33">
      <c r="A26" s="319" t="s">
        <v>106</v>
      </c>
      <c r="B26" s="394">
        <v>40</v>
      </c>
      <c r="C26" s="394">
        <v>425</v>
      </c>
      <c r="D26" s="404">
        <v>1650</v>
      </c>
      <c r="E26" s="403">
        <f>IFERROR(D26/C26,0)</f>
        <v>3.8823529411764706</v>
      </c>
      <c r="F26" s="409">
        <f t="shared" si="27"/>
        <v>792000</v>
      </c>
      <c r="G26" s="311"/>
      <c r="H26" s="124"/>
      <c r="I26" s="137" t="s">
        <v>107</v>
      </c>
      <c r="J26" s="184">
        <v>0.05</v>
      </c>
      <c r="K26" s="185">
        <f>L26/$K$14</f>
        <v>5.3125</v>
      </c>
      <c r="L26" s="186">
        <f>J26*SUM($L$22:$L$24)</f>
        <v>637500</v>
      </c>
      <c r="M26" s="128"/>
      <c r="N26" s="311"/>
      <c r="O26" s="129"/>
      <c r="P26" s="137" t="s">
        <v>107</v>
      </c>
      <c r="Q26" s="184">
        <v>0.05</v>
      </c>
      <c r="R26" s="185">
        <f>S26/$K$14</f>
        <v>12.216666666666667</v>
      </c>
      <c r="S26" s="186">
        <f>Q26*SUM($S$22:$S$24)</f>
        <v>1466000</v>
      </c>
      <c r="T26" s="130"/>
      <c r="U26" s="311"/>
      <c r="V26" s="311"/>
      <c r="W26" s="311"/>
      <c r="X26" s="311"/>
      <c r="Y26" s="311"/>
      <c r="Z26" s="311"/>
      <c r="AA26" s="311"/>
      <c r="AB26" s="311"/>
      <c r="AC26" s="311"/>
      <c r="AD26" s="311"/>
      <c r="AE26" s="311"/>
      <c r="AF26" s="311"/>
      <c r="AG26" s="118"/>
    </row>
    <row r="27" spans="1:33">
      <c r="A27" s="319" t="s">
        <v>108</v>
      </c>
      <c r="B27" s="394">
        <v>40</v>
      </c>
      <c r="C27" s="394">
        <v>600</v>
      </c>
      <c r="D27" s="404">
        <v>1800</v>
      </c>
      <c r="E27" s="403">
        <f>IFERROR(D27/C27,0)</f>
        <v>3</v>
      </c>
      <c r="F27" s="409">
        <f t="shared" si="27"/>
        <v>864000</v>
      </c>
      <c r="G27" s="311"/>
      <c r="H27" s="124"/>
      <c r="I27" s="143" t="s">
        <v>109</v>
      </c>
      <c r="J27" s="436">
        <v>0.03</v>
      </c>
      <c r="K27" s="434">
        <f>L27/$K$14</f>
        <v>3.1875</v>
      </c>
      <c r="L27" s="189">
        <f>J27*SUM($L$22:$L$24)</f>
        <v>382500</v>
      </c>
      <c r="M27" s="128"/>
      <c r="N27" s="311"/>
      <c r="O27" s="129"/>
      <c r="P27" s="143" t="s">
        <v>109</v>
      </c>
      <c r="Q27" s="436">
        <v>0.03</v>
      </c>
      <c r="R27" s="434">
        <f>S27/$K$14</f>
        <v>7.33</v>
      </c>
      <c r="S27" s="189">
        <f>Q27*SUM($S$22:$S$24)</f>
        <v>879600</v>
      </c>
      <c r="T27" s="130"/>
      <c r="U27" s="311"/>
      <c r="V27" s="311"/>
      <c r="W27" s="311"/>
      <c r="X27" s="311"/>
      <c r="Y27" s="311"/>
      <c r="Z27" s="311"/>
      <c r="AA27" s="311"/>
      <c r="AB27" s="311"/>
      <c r="AC27" s="311"/>
      <c r="AD27" s="311"/>
      <c r="AE27" s="311"/>
      <c r="AF27" s="311"/>
      <c r="AG27" s="118"/>
    </row>
    <row r="28" spans="1:33">
      <c r="A28" s="319" t="s">
        <v>110</v>
      </c>
      <c r="B28" s="394">
        <v>40</v>
      </c>
      <c r="C28" s="394">
        <v>880</v>
      </c>
      <c r="D28" s="404">
        <v>2600</v>
      </c>
      <c r="E28" s="403">
        <f>IFERROR(D28/C28,0)</f>
        <v>2.9545454545454546</v>
      </c>
      <c r="F28" s="409">
        <f t="shared" si="27"/>
        <v>1248000</v>
      </c>
      <c r="G28" s="311"/>
      <c r="H28" s="124"/>
      <c r="I28" s="143" t="s">
        <v>111</v>
      </c>
      <c r="J28" s="437">
        <v>0.01</v>
      </c>
      <c r="K28" s="434">
        <f>L28/$K$14</f>
        <v>2.5933333333333333</v>
      </c>
      <c r="L28" s="189">
        <f>J28*L25</f>
        <v>311200</v>
      </c>
      <c r="M28" s="128"/>
      <c r="N28" s="311"/>
      <c r="O28" s="129"/>
      <c r="P28" s="143" t="s">
        <v>111</v>
      </c>
      <c r="Q28" s="437">
        <v>0.01</v>
      </c>
      <c r="R28" s="434">
        <f>S28/$K$14</f>
        <v>2.4433333333333334</v>
      </c>
      <c r="S28" s="189">
        <f>Q28*S25</f>
        <v>293200</v>
      </c>
      <c r="T28" s="130"/>
      <c r="U28" s="434"/>
      <c r="V28" s="311"/>
      <c r="W28" s="311"/>
      <c r="X28" s="311"/>
      <c r="Y28" s="311"/>
      <c r="Z28" s="311"/>
      <c r="AA28" s="311"/>
      <c r="AB28" s="311"/>
      <c r="AC28" s="311"/>
      <c r="AD28" s="311"/>
      <c r="AE28" s="311"/>
      <c r="AF28" s="311"/>
      <c r="AG28" s="118"/>
    </row>
    <row r="29" spans="1:33">
      <c r="A29" s="320"/>
      <c r="B29" s="199"/>
      <c r="C29" s="199"/>
      <c r="D29" s="410"/>
      <c r="E29" s="177" t="str">
        <f>IFERROR(D29/C29,"")</f>
        <v/>
      </c>
      <c r="F29" s="411">
        <f t="shared" si="27"/>
        <v>0</v>
      </c>
      <c r="G29" s="311"/>
      <c r="H29" s="124"/>
      <c r="I29" s="153" t="s">
        <v>112</v>
      </c>
      <c r="J29" s="193">
        <v>0.03</v>
      </c>
      <c r="K29" s="194">
        <f>L29/$K$14</f>
        <v>3.1875</v>
      </c>
      <c r="L29" s="195">
        <f>J29*SUM($L$22:$L$24)</f>
        <v>382500</v>
      </c>
      <c r="M29" s="128"/>
      <c r="N29" s="311"/>
      <c r="O29" s="129"/>
      <c r="P29" s="153" t="s">
        <v>112</v>
      </c>
      <c r="Q29" s="193">
        <v>0.03</v>
      </c>
      <c r="R29" s="194">
        <f>S29/$K$14</f>
        <v>7.33</v>
      </c>
      <c r="S29" s="195">
        <f>Q29*SUM($S$22:$S$24)</f>
        <v>879600</v>
      </c>
      <c r="T29" s="130"/>
      <c r="U29" s="311"/>
      <c r="V29" s="311"/>
      <c r="W29" s="311"/>
      <c r="X29" s="311"/>
      <c r="Y29" s="311"/>
      <c r="Z29" s="311"/>
      <c r="AA29" s="311"/>
      <c r="AB29" s="311"/>
      <c r="AC29" s="311"/>
      <c r="AD29" s="311"/>
      <c r="AE29" s="311"/>
      <c r="AF29" s="311"/>
      <c r="AG29" s="118"/>
    </row>
    <row r="30" spans="1:33">
      <c r="A30" s="438" t="s">
        <v>113</v>
      </c>
      <c r="B30" s="396">
        <f>SUM(B25:B29)</f>
        <v>160</v>
      </c>
      <c r="C30" s="397">
        <f>SUMPRODUCT(C25:C29,$B$25:$B$29)/$B$30</f>
        <v>563.75</v>
      </c>
      <c r="D30" s="397">
        <f>SUMPRODUCT(D25:D29,$B$25:$B$29)/$B$30</f>
        <v>1887.5</v>
      </c>
      <c r="E30" s="405">
        <f>SUMPRODUCT(E25:E29,$B$25:$B$29)/$B$30</f>
        <v>3.5306531703590522</v>
      </c>
      <c r="F30" s="406">
        <f t="shared" si="27"/>
        <v>3624000</v>
      </c>
      <c r="G30" s="417"/>
      <c r="H30" s="124"/>
      <c r="I30" s="160" t="s">
        <v>114</v>
      </c>
      <c r="J30" s="196"/>
      <c r="K30" s="387">
        <f>IF(Summary!$S$48="On",Summary!$S$49,L30/K14)</f>
        <v>300</v>
      </c>
      <c r="L30" s="198">
        <f>IF(Summary!S48="On",K30*K14,SUM(L25:L29))</f>
        <v>36000000</v>
      </c>
      <c r="M30" s="128"/>
      <c r="N30" s="311"/>
      <c r="O30" s="129"/>
      <c r="P30" s="160" t="s">
        <v>114</v>
      </c>
      <c r="Q30" s="196"/>
      <c r="R30" s="387">
        <f>IF(Summary!$S$48="On",Summary!$S$50,S30/R14)</f>
        <v>300</v>
      </c>
      <c r="S30" s="198">
        <f>IF(Summary!S48="On",R30*R14,SUM(S25:S29))</f>
        <v>36000000</v>
      </c>
      <c r="T30" s="130"/>
      <c r="U30" s="311"/>
      <c r="V30" s="311"/>
      <c r="W30" s="311"/>
      <c r="X30" s="311"/>
      <c r="Y30" s="311"/>
      <c r="Z30" s="311"/>
      <c r="AA30" s="311"/>
      <c r="AB30" s="311"/>
      <c r="AC30" s="311"/>
      <c r="AD30" s="311"/>
      <c r="AE30" s="311"/>
      <c r="AF30" s="311"/>
      <c r="AG30" s="118"/>
    </row>
    <row r="31" spans="1:33">
      <c r="A31" s="317" t="s">
        <v>70</v>
      </c>
      <c r="B31" s="190"/>
      <c r="C31" s="393" t="s">
        <v>98</v>
      </c>
      <c r="D31" s="190" t="s">
        <v>115</v>
      </c>
      <c r="E31" s="190"/>
      <c r="F31" s="191"/>
      <c r="G31" s="311"/>
      <c r="H31" s="124"/>
      <c r="I31" s="429"/>
      <c r="J31" s="429"/>
      <c r="K31" s="429"/>
      <c r="L31" s="429"/>
      <c r="M31" s="128"/>
      <c r="N31" s="311"/>
      <c r="O31" s="129"/>
      <c r="P31" s="430"/>
      <c r="Q31" s="430"/>
      <c r="R31" s="430"/>
      <c r="S31" s="430"/>
      <c r="T31" s="130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118"/>
    </row>
    <row r="32" spans="1:33">
      <c r="A32" s="315" t="s">
        <v>116</v>
      </c>
      <c r="B32" s="122"/>
      <c r="C32" s="392">
        <v>40</v>
      </c>
      <c r="D32" s="205">
        <v>300</v>
      </c>
      <c r="E32" s="122" t="s">
        <v>117</v>
      </c>
      <c r="F32" s="206">
        <f>D32*C32*12</f>
        <v>144000</v>
      </c>
      <c r="G32" s="311"/>
      <c r="H32" s="124"/>
      <c r="I32" s="166" t="s">
        <v>118</v>
      </c>
      <c r="J32" s="109"/>
      <c r="K32" s="109"/>
      <c r="L32" s="110"/>
      <c r="M32" s="128"/>
      <c r="N32" s="311"/>
      <c r="O32" s="129"/>
      <c r="P32" s="166" t="s">
        <v>118</v>
      </c>
      <c r="Q32" s="109"/>
      <c r="R32" s="109"/>
      <c r="S32" s="110"/>
      <c r="T32" s="130"/>
      <c r="U32" s="311"/>
      <c r="V32" s="311"/>
      <c r="W32" s="311"/>
      <c r="X32" s="311"/>
      <c r="Y32" s="311"/>
      <c r="Z32" s="311"/>
      <c r="AA32" s="311"/>
      <c r="AB32" s="311"/>
      <c r="AC32" s="311"/>
      <c r="AD32" s="311"/>
      <c r="AE32" s="311"/>
      <c r="AF32" s="311"/>
      <c r="AG32" s="118"/>
    </row>
    <row r="33" spans="1:33">
      <c r="A33" s="135" t="s">
        <v>65</v>
      </c>
      <c r="B33" s="311"/>
      <c r="C33" s="424">
        <v>1600</v>
      </c>
      <c r="D33" s="402">
        <v>40</v>
      </c>
      <c r="E33" s="311" t="s">
        <v>119</v>
      </c>
      <c r="F33" s="412">
        <f>D33*C33</f>
        <v>64000</v>
      </c>
      <c r="G33" s="311"/>
      <c r="H33" s="124"/>
      <c r="I33" s="143" t="s">
        <v>120</v>
      </c>
      <c r="J33" s="439">
        <v>0.25</v>
      </c>
      <c r="K33" s="440">
        <f>IF(Summary!S48="On",50%,Inputs!L33/Inputs!L35)</f>
        <v>0.5</v>
      </c>
      <c r="L33" s="189">
        <f>IF(Summary!$S$48="On",L30*K33,SUM(L19:L21))</f>
        <v>18000000</v>
      </c>
      <c r="M33" s="128"/>
      <c r="N33" s="311"/>
      <c r="O33" s="129"/>
      <c r="P33" s="143" t="s">
        <v>120</v>
      </c>
      <c r="Q33" s="439">
        <v>0.25</v>
      </c>
      <c r="R33" s="440">
        <f>IF(Summary!S48="On",0%,Inputs!S33/Inputs!S35)</f>
        <v>0</v>
      </c>
      <c r="S33" s="189">
        <f>SUM(S19:S21)</f>
        <v>0</v>
      </c>
      <c r="T33" s="130"/>
      <c r="U33" s="311"/>
      <c r="V33" s="311"/>
      <c r="W33" s="311"/>
      <c r="X33" s="311"/>
      <c r="Y33" s="311"/>
      <c r="Z33" s="311"/>
      <c r="AA33" s="311"/>
      <c r="AB33" s="311"/>
      <c r="AC33" s="311"/>
      <c r="AD33" s="311"/>
      <c r="AE33" s="311"/>
      <c r="AF33" s="311"/>
      <c r="AG33" s="118"/>
    </row>
    <row r="34" spans="1:33">
      <c r="A34" s="135" t="s">
        <v>121</v>
      </c>
      <c r="B34" s="311"/>
      <c r="C34" s="413">
        <f>B30</f>
        <v>160</v>
      </c>
      <c r="D34" s="402">
        <v>100</v>
      </c>
      <c r="E34" s="311" t="s">
        <v>122</v>
      </c>
      <c r="F34" s="412">
        <f>D34*C34*12</f>
        <v>192000</v>
      </c>
      <c r="G34" s="311"/>
      <c r="H34" s="124"/>
      <c r="I34" s="143" t="s">
        <v>123</v>
      </c>
      <c r="J34" s="311"/>
      <c r="K34" s="441">
        <f>IF(Summary!S48="On",1-K33,Inputs!L34/Inputs!L35)</f>
        <v>0.5</v>
      </c>
      <c r="L34" s="189">
        <f>IF(Summary!$S$48="On",L30*K34,SUM(Inputs!L22:L24,Inputs!L26:L29))</f>
        <v>18000000</v>
      </c>
      <c r="M34" s="128"/>
      <c r="N34" s="311"/>
      <c r="O34" s="129"/>
      <c r="P34" s="143" t="s">
        <v>123</v>
      </c>
      <c r="Q34" s="311"/>
      <c r="R34" s="441">
        <f>IF(Summary!S48="On",1-R33,Inputs!S34/Inputs!S35)</f>
        <v>1</v>
      </c>
      <c r="S34" s="189">
        <f>IF(Summary!$S$48="On",S30,SUM(Inputs!S22:S24,Inputs!S26:S29))</f>
        <v>36000000</v>
      </c>
      <c r="T34" s="130"/>
      <c r="U34" s="311"/>
      <c r="V34" s="311"/>
      <c r="W34" s="311"/>
      <c r="X34" s="311"/>
      <c r="Y34" s="311"/>
      <c r="Z34" s="311"/>
      <c r="AA34" s="311"/>
      <c r="AB34" s="311"/>
      <c r="AC34" s="311"/>
      <c r="AD34" s="311"/>
      <c r="AE34" s="311"/>
      <c r="AF34" s="311"/>
      <c r="AG34" s="118"/>
    </row>
    <row r="35" spans="1:33">
      <c r="A35" s="322" t="s">
        <v>70</v>
      </c>
      <c r="B35" s="400"/>
      <c r="C35" s="419">
        <f>B30</f>
        <v>160</v>
      </c>
      <c r="D35" s="207">
        <v>25</v>
      </c>
      <c r="E35" s="149" t="s">
        <v>122</v>
      </c>
      <c r="F35" s="208">
        <f>D35*C35*12</f>
        <v>48000</v>
      </c>
      <c r="G35" s="311"/>
      <c r="H35" s="124"/>
      <c r="I35" s="171" t="s">
        <v>86</v>
      </c>
      <c r="J35" s="209"/>
      <c r="K35" s="210"/>
      <c r="L35" s="211">
        <f>SUM(L33:L34)</f>
        <v>36000000</v>
      </c>
      <c r="M35" s="128"/>
      <c r="N35" s="311"/>
      <c r="O35" s="129"/>
      <c r="P35" s="171" t="s">
        <v>86</v>
      </c>
      <c r="Q35" s="209"/>
      <c r="R35" s="210"/>
      <c r="S35" s="211">
        <f>SUM(S33:S34)</f>
        <v>36000000</v>
      </c>
      <c r="T35" s="130"/>
      <c r="U35" s="311"/>
      <c r="V35" s="311"/>
      <c r="W35" s="311"/>
      <c r="X35" s="311"/>
      <c r="Y35" s="311"/>
      <c r="Z35" s="311"/>
      <c r="AA35" s="311"/>
      <c r="AB35" s="311"/>
      <c r="AC35" s="311"/>
      <c r="AD35" s="311"/>
      <c r="AE35" s="311"/>
      <c r="AF35" s="311"/>
      <c r="AG35" s="118"/>
    </row>
    <row r="36" spans="1:33">
      <c r="A36" s="321" t="s">
        <v>124</v>
      </c>
      <c r="B36" s="401"/>
      <c r="C36" s="200"/>
      <c r="D36" s="201"/>
      <c r="E36" s="202"/>
      <c r="F36" s="203">
        <f>F30+SUM(F32:F35)</f>
        <v>4072000</v>
      </c>
      <c r="G36" s="311"/>
      <c r="H36" s="124"/>
      <c r="I36" s="429"/>
      <c r="J36" s="429"/>
      <c r="K36" s="429"/>
      <c r="L36" s="429"/>
      <c r="M36" s="128"/>
      <c r="N36" s="311"/>
      <c r="O36" s="129"/>
      <c r="P36" s="430"/>
      <c r="Q36" s="430"/>
      <c r="R36" s="430"/>
      <c r="S36" s="430"/>
      <c r="T36" s="130"/>
      <c r="U36" s="311"/>
      <c r="V36" s="311"/>
      <c r="W36" s="311"/>
      <c r="X36" s="311"/>
      <c r="Y36" s="311"/>
      <c r="Z36" s="311"/>
      <c r="AA36" s="311"/>
      <c r="AB36" s="311"/>
      <c r="AC36" s="311"/>
      <c r="AD36" s="311"/>
      <c r="AE36" s="311"/>
      <c r="AF36" s="311"/>
      <c r="AG36" s="118"/>
    </row>
    <row r="37" spans="1:33">
      <c r="A37" s="135"/>
      <c r="B37" s="311"/>
      <c r="C37" s="311"/>
      <c r="D37" s="311"/>
      <c r="E37" s="311"/>
      <c r="F37" s="311"/>
      <c r="G37" s="311"/>
      <c r="H37" s="124"/>
      <c r="I37" s="166" t="s">
        <v>30</v>
      </c>
      <c r="J37" s="167"/>
      <c r="K37" s="167"/>
      <c r="L37" s="168" t="s">
        <v>86</v>
      </c>
      <c r="M37" s="128"/>
      <c r="N37" s="311"/>
      <c r="O37" s="129"/>
      <c r="P37" s="166" t="s">
        <v>30</v>
      </c>
      <c r="Q37" s="167"/>
      <c r="R37" s="167"/>
      <c r="S37" s="168" t="s">
        <v>86</v>
      </c>
      <c r="T37" s="130"/>
      <c r="U37" s="311"/>
      <c r="V37" s="311"/>
      <c r="W37" s="311"/>
      <c r="X37" s="311"/>
      <c r="Y37" s="311"/>
      <c r="Z37" s="311"/>
      <c r="AA37" s="311"/>
      <c r="AB37" s="311"/>
      <c r="AC37" s="311"/>
      <c r="AD37" s="311"/>
      <c r="AE37" s="311"/>
      <c r="AF37" s="311"/>
      <c r="AG37" s="118"/>
    </row>
    <row r="38" spans="1:33">
      <c r="A38" s="313" t="s">
        <v>125</v>
      </c>
      <c r="B38" s="156"/>
      <c r="C38" s="156"/>
      <c r="D38" s="156"/>
      <c r="E38" s="156"/>
      <c r="F38" s="157"/>
      <c r="G38" s="311"/>
      <c r="H38" s="124"/>
      <c r="I38" s="143" t="s">
        <v>126</v>
      </c>
      <c r="J38" s="442">
        <v>8</v>
      </c>
      <c r="K38" s="311" t="s">
        <v>85</v>
      </c>
      <c r="L38" s="189">
        <f>J38*K14</f>
        <v>960000</v>
      </c>
      <c r="M38" s="128"/>
      <c r="N38" s="311"/>
      <c r="O38" s="129"/>
      <c r="P38" s="143" t="s">
        <v>126</v>
      </c>
      <c r="Q38" s="442">
        <v>8</v>
      </c>
      <c r="R38" s="311" t="s">
        <v>85</v>
      </c>
      <c r="S38" s="189">
        <f>Q38*R14</f>
        <v>960000</v>
      </c>
      <c r="T38" s="130"/>
      <c r="U38" s="311"/>
      <c r="V38" s="311"/>
      <c r="W38" s="311"/>
      <c r="X38" s="311"/>
      <c r="Y38" s="311"/>
      <c r="Z38" s="311"/>
      <c r="AA38" s="311"/>
      <c r="AB38" s="311"/>
      <c r="AC38" s="311"/>
      <c r="AD38" s="311"/>
      <c r="AE38" s="311"/>
      <c r="AF38" s="311"/>
      <c r="AG38" s="118"/>
    </row>
    <row r="39" spans="1:33">
      <c r="A39" s="314" t="s">
        <v>78</v>
      </c>
      <c r="B39" s="158"/>
      <c r="C39" s="158"/>
      <c r="D39" s="158"/>
      <c r="E39" s="158"/>
      <c r="F39" s="159"/>
      <c r="G39" s="311"/>
      <c r="H39" s="124"/>
      <c r="I39" s="143" t="s">
        <v>127</v>
      </c>
      <c r="J39" s="442">
        <v>2</v>
      </c>
      <c r="K39" s="311" t="s">
        <v>85</v>
      </c>
      <c r="L39" s="189">
        <f>J39*K14</f>
        <v>240000</v>
      </c>
      <c r="M39" s="128"/>
      <c r="N39" s="311"/>
      <c r="O39" s="129"/>
      <c r="P39" s="143" t="s">
        <v>127</v>
      </c>
      <c r="Q39" s="442">
        <v>2</v>
      </c>
      <c r="R39" s="311" t="s">
        <v>85</v>
      </c>
      <c r="S39" s="189">
        <f>Q39*R14</f>
        <v>240000</v>
      </c>
      <c r="T39" s="130"/>
      <c r="U39" s="443"/>
      <c r="V39" s="311"/>
      <c r="W39" s="311"/>
      <c r="X39" s="311"/>
      <c r="Y39" s="311"/>
      <c r="Z39" s="311"/>
      <c r="AA39" s="311"/>
      <c r="AB39" s="311"/>
      <c r="AC39" s="311"/>
      <c r="AD39" s="311"/>
      <c r="AE39" s="311"/>
      <c r="AF39" s="311"/>
      <c r="AG39" s="118"/>
    </row>
    <row r="40" spans="1:33">
      <c r="A40" s="315" t="s">
        <v>128</v>
      </c>
      <c r="B40" s="122"/>
      <c r="C40" s="122"/>
      <c r="D40" s="212">
        <v>1.4E-2</v>
      </c>
      <c r="E40" s="311" t="s">
        <v>129</v>
      </c>
      <c r="F40" s="213">
        <f>D40*(L30+L74)</f>
        <v>574000</v>
      </c>
      <c r="G40" s="311"/>
      <c r="H40" s="124"/>
      <c r="I40" s="143" t="s">
        <v>130</v>
      </c>
      <c r="J40" s="427"/>
      <c r="K40" s="311"/>
      <c r="L40" s="170">
        <f>L74*D40*ROUNDUP(L93/12,0)</f>
        <v>140000</v>
      </c>
      <c r="M40" s="128"/>
      <c r="N40" s="311"/>
      <c r="O40" s="129"/>
      <c r="P40" s="143" t="s">
        <v>130</v>
      </c>
      <c r="Q40" s="427"/>
      <c r="R40" s="311"/>
      <c r="S40" s="170">
        <f>L74*D40*ROUNDUP(S93/12,0)</f>
        <v>210000</v>
      </c>
      <c r="T40" s="130"/>
      <c r="U40" s="311"/>
      <c r="V40" s="311"/>
      <c r="W40" s="311"/>
      <c r="X40" s="311"/>
      <c r="Y40" s="417"/>
      <c r="Z40" s="311"/>
      <c r="AA40" s="311"/>
      <c r="AB40" s="311"/>
      <c r="AC40" s="311"/>
      <c r="AD40" s="311"/>
      <c r="AE40" s="311"/>
      <c r="AF40" s="311"/>
      <c r="AG40" s="118"/>
    </row>
    <row r="41" spans="1:33">
      <c r="A41" s="135" t="s">
        <v>131</v>
      </c>
      <c r="B41" s="311"/>
      <c r="C41" s="311"/>
      <c r="D41" s="444">
        <v>300</v>
      </c>
      <c r="E41" s="311" t="s">
        <v>132</v>
      </c>
      <c r="F41" s="170">
        <f>D41*E25</f>
        <v>1285.7142857142858</v>
      </c>
      <c r="G41" s="311"/>
      <c r="H41" s="124"/>
      <c r="I41" s="143" t="s">
        <v>133</v>
      </c>
      <c r="J41" s="445">
        <v>0.03</v>
      </c>
      <c r="K41" s="311" t="s">
        <v>134</v>
      </c>
      <c r="L41" s="170">
        <f>J41*L74</f>
        <v>150000</v>
      </c>
      <c r="M41" s="128"/>
      <c r="N41" s="311"/>
      <c r="O41" s="129"/>
      <c r="P41" s="143" t="s">
        <v>133</v>
      </c>
      <c r="Q41" s="445">
        <v>0.03</v>
      </c>
      <c r="R41" s="311" t="s">
        <v>134</v>
      </c>
      <c r="S41" s="170">
        <f>Q41*L74</f>
        <v>150000</v>
      </c>
      <c r="T41" s="130"/>
      <c r="U41" s="311"/>
      <c r="V41" s="311"/>
      <c r="W41" s="311"/>
      <c r="X41" s="311"/>
      <c r="Y41" s="311"/>
      <c r="Z41" s="311"/>
      <c r="AA41" s="311"/>
      <c r="AB41" s="311"/>
      <c r="AC41" s="311"/>
      <c r="AD41" s="311"/>
      <c r="AE41" s="311"/>
      <c r="AF41" s="311"/>
      <c r="AG41" s="118"/>
    </row>
    <row r="42" spans="1:33">
      <c r="A42" s="317" t="s">
        <v>81</v>
      </c>
      <c r="B42" s="190"/>
      <c r="C42" s="190"/>
      <c r="D42" s="190"/>
      <c r="E42" s="190"/>
      <c r="F42" s="191"/>
      <c r="G42" s="311"/>
      <c r="H42" s="124"/>
      <c r="I42" s="143" t="s">
        <v>135</v>
      </c>
      <c r="J42" s="311"/>
      <c r="K42" s="444"/>
      <c r="L42" s="214">
        <v>150000</v>
      </c>
      <c r="M42" s="128"/>
      <c r="N42" s="311"/>
      <c r="O42" s="129"/>
      <c r="P42" s="143" t="s">
        <v>135</v>
      </c>
      <c r="Q42" s="311"/>
      <c r="R42" s="444"/>
      <c r="S42" s="214">
        <v>150000</v>
      </c>
      <c r="T42" s="130"/>
      <c r="U42" s="311"/>
      <c r="V42" s="311"/>
      <c r="W42" s="311"/>
      <c r="X42" s="311"/>
      <c r="Y42" s="417"/>
      <c r="Z42" s="311"/>
      <c r="AA42" s="311"/>
      <c r="AB42" s="311"/>
      <c r="AC42" s="311"/>
      <c r="AD42" s="311"/>
      <c r="AE42" s="311"/>
      <c r="AF42" s="311"/>
      <c r="AG42" s="118"/>
    </row>
    <row r="43" spans="1:33">
      <c r="A43" s="315" t="s">
        <v>136</v>
      </c>
      <c r="B43" s="122"/>
      <c r="C43" s="122"/>
      <c r="D43" s="415">
        <v>1200</v>
      </c>
      <c r="E43" s="238" t="s">
        <v>137</v>
      </c>
      <c r="F43" s="213">
        <f>D43*$B$30</f>
        <v>192000</v>
      </c>
      <c r="G43" s="311"/>
      <c r="H43" s="124"/>
      <c r="I43" s="143" t="s">
        <v>138</v>
      </c>
      <c r="J43" s="311"/>
      <c r="K43" s="311"/>
      <c r="L43" s="214">
        <v>150000</v>
      </c>
      <c r="M43" s="128"/>
      <c r="N43" s="311"/>
      <c r="O43" s="129"/>
      <c r="P43" s="143" t="s">
        <v>138</v>
      </c>
      <c r="Q43" s="311"/>
      <c r="R43" s="311"/>
      <c r="S43" s="214">
        <v>150000</v>
      </c>
      <c r="T43" s="130"/>
      <c r="U43" s="311"/>
      <c r="V43" s="311"/>
      <c r="W43" s="311"/>
      <c r="X43" s="311"/>
      <c r="Y43" s="311"/>
      <c r="Z43" s="311"/>
      <c r="AA43" s="311"/>
      <c r="AB43" s="311"/>
      <c r="AC43" s="311"/>
      <c r="AD43" s="311"/>
      <c r="AE43" s="311"/>
      <c r="AF43" s="311"/>
      <c r="AG43" s="118"/>
    </row>
    <row r="44" spans="1:33">
      <c r="A44" s="135" t="s">
        <v>139</v>
      </c>
      <c r="B44" s="311"/>
      <c r="C44" s="311"/>
      <c r="D44" s="414">
        <v>500</v>
      </c>
      <c r="E44" s="416" t="s">
        <v>140</v>
      </c>
      <c r="F44" s="170">
        <f>D44*$B$30</f>
        <v>80000</v>
      </c>
      <c r="G44" s="311"/>
      <c r="H44" s="124"/>
      <c r="I44" s="143" t="s">
        <v>141</v>
      </c>
      <c r="J44" s="437">
        <v>0.03</v>
      </c>
      <c r="K44" s="311" t="s">
        <v>142</v>
      </c>
      <c r="L44" s="189">
        <f>J44*L$30</f>
        <v>1080000</v>
      </c>
      <c r="M44" s="128"/>
      <c r="N44" s="311"/>
      <c r="O44" s="129"/>
      <c r="P44" s="143" t="s">
        <v>141</v>
      </c>
      <c r="Q44" s="437">
        <v>0.03</v>
      </c>
      <c r="R44" s="311" t="s">
        <v>142</v>
      </c>
      <c r="S44" s="189">
        <f>Q44*S$30</f>
        <v>1080000</v>
      </c>
      <c r="T44" s="130"/>
      <c r="U44" s="311"/>
      <c r="V44" s="311"/>
      <c r="W44" s="311"/>
      <c r="X44" s="311"/>
      <c r="Y44" s="311"/>
      <c r="Z44" s="311"/>
      <c r="AA44" s="311"/>
      <c r="AB44" s="311"/>
      <c r="AC44" s="311"/>
      <c r="AD44" s="311"/>
      <c r="AE44" s="311"/>
      <c r="AF44" s="311"/>
      <c r="AG44" s="118"/>
    </row>
    <row r="45" spans="1:33">
      <c r="A45" s="135" t="s">
        <v>143</v>
      </c>
      <c r="B45" s="311"/>
      <c r="C45" s="311"/>
      <c r="D45" s="215">
        <v>0.03</v>
      </c>
      <c r="E45" s="416" t="s">
        <v>144</v>
      </c>
      <c r="F45" s="170">
        <f>D45*F36</f>
        <v>122160</v>
      </c>
      <c r="G45" s="311"/>
      <c r="H45" s="124"/>
      <c r="I45" s="153" t="s">
        <v>145</v>
      </c>
      <c r="J45" s="193">
        <v>0.03</v>
      </c>
      <c r="K45" s="149" t="s">
        <v>142</v>
      </c>
      <c r="L45" s="195">
        <f>J45*L$30</f>
        <v>1080000</v>
      </c>
      <c r="M45" s="128"/>
      <c r="N45" s="311"/>
      <c r="O45" s="129"/>
      <c r="P45" s="153" t="s">
        <v>145</v>
      </c>
      <c r="Q45" s="193">
        <v>0.03</v>
      </c>
      <c r="R45" s="149" t="s">
        <v>142</v>
      </c>
      <c r="S45" s="195">
        <f>Q45*S$30</f>
        <v>1080000</v>
      </c>
      <c r="T45" s="130"/>
      <c r="U45" s="311"/>
      <c r="V45" s="311"/>
      <c r="W45" s="311"/>
      <c r="X45" s="311"/>
      <c r="Y45" s="311"/>
      <c r="Z45" s="311"/>
      <c r="AA45" s="311"/>
      <c r="AB45" s="311"/>
      <c r="AC45" s="311"/>
      <c r="AD45" s="311"/>
      <c r="AE45" s="311"/>
      <c r="AF45" s="311"/>
      <c r="AG45" s="118"/>
    </row>
    <row r="46" spans="1:33">
      <c r="A46" s="135" t="s">
        <v>146</v>
      </c>
      <c r="B46" s="311"/>
      <c r="C46" s="311"/>
      <c r="D46" s="414">
        <v>1800</v>
      </c>
      <c r="E46" s="416" t="s">
        <v>137</v>
      </c>
      <c r="F46" s="170">
        <f t="shared" ref="F46:F49" si="28">D46*$B$30</f>
        <v>288000</v>
      </c>
      <c r="G46" s="311"/>
      <c r="H46" s="124"/>
      <c r="I46" s="160" t="s">
        <v>147</v>
      </c>
      <c r="J46" s="196"/>
      <c r="K46" s="197">
        <f>L46/K14</f>
        <v>32.916666666666664</v>
      </c>
      <c r="L46" s="198">
        <f>SUM(L38:L45)</f>
        <v>3950000</v>
      </c>
      <c r="M46" s="128"/>
      <c r="N46" s="311"/>
      <c r="O46" s="129"/>
      <c r="P46" s="160" t="s">
        <v>147</v>
      </c>
      <c r="Q46" s="196"/>
      <c r="R46" s="197">
        <f>S46/R14</f>
        <v>33.5</v>
      </c>
      <c r="S46" s="198">
        <f>SUM(S38:S45)</f>
        <v>4020000</v>
      </c>
      <c r="T46" s="130"/>
      <c r="U46" s="311"/>
      <c r="V46" s="311"/>
      <c r="W46" s="311"/>
      <c r="X46" s="311"/>
      <c r="Y46" s="311"/>
      <c r="Z46" s="311"/>
      <c r="AA46" s="311"/>
      <c r="AB46" s="311"/>
      <c r="AC46" s="311"/>
      <c r="AD46" s="311"/>
      <c r="AE46" s="311"/>
      <c r="AF46" s="311"/>
      <c r="AG46" s="118"/>
    </row>
    <row r="47" spans="1:33">
      <c r="A47" s="135" t="s">
        <v>148</v>
      </c>
      <c r="B47" s="311"/>
      <c r="C47" s="311"/>
      <c r="D47" s="414">
        <v>395</v>
      </c>
      <c r="E47" s="416" t="s">
        <v>137</v>
      </c>
      <c r="F47" s="170">
        <f t="shared" si="28"/>
        <v>63200</v>
      </c>
      <c r="G47" s="311"/>
      <c r="H47" s="124"/>
      <c r="I47" s="429"/>
      <c r="J47" s="429"/>
      <c r="K47" s="429"/>
      <c r="L47" s="446"/>
      <c r="M47" s="128"/>
      <c r="N47" s="311"/>
      <c r="O47" s="129"/>
      <c r="P47" s="430"/>
      <c r="Q47" s="430"/>
      <c r="R47" s="430"/>
      <c r="S47" s="447"/>
      <c r="T47" s="130"/>
      <c r="U47" s="311"/>
      <c r="V47" s="311"/>
      <c r="W47" s="311"/>
      <c r="X47" s="311"/>
      <c r="Y47" s="311"/>
      <c r="Z47" s="311"/>
      <c r="AA47" s="311"/>
      <c r="AB47" s="311"/>
      <c r="AC47" s="311"/>
      <c r="AD47" s="311"/>
      <c r="AE47" s="311"/>
      <c r="AF47" s="311"/>
      <c r="AG47" s="118"/>
    </row>
    <row r="48" spans="1:33">
      <c r="A48" s="135" t="s">
        <v>149</v>
      </c>
      <c r="B48" s="311"/>
      <c r="C48" s="311"/>
      <c r="D48" s="414">
        <v>600</v>
      </c>
      <c r="E48" s="416" t="s">
        <v>137</v>
      </c>
      <c r="F48" s="170">
        <f t="shared" si="28"/>
        <v>96000</v>
      </c>
      <c r="G48" s="311"/>
      <c r="H48" s="124"/>
      <c r="I48" s="166" t="s">
        <v>31</v>
      </c>
      <c r="J48" s="167"/>
      <c r="K48" s="167"/>
      <c r="L48" s="168" t="s">
        <v>86</v>
      </c>
      <c r="M48" s="128"/>
      <c r="N48" s="311"/>
      <c r="O48" s="129"/>
      <c r="P48" s="166" t="s">
        <v>31</v>
      </c>
      <c r="Q48" s="167"/>
      <c r="R48" s="167"/>
      <c r="S48" s="168" t="s">
        <v>86</v>
      </c>
      <c r="T48" s="130"/>
      <c r="U48" s="311"/>
      <c r="V48" s="311"/>
      <c r="W48" s="311"/>
      <c r="X48" s="311"/>
      <c r="Y48" s="311"/>
      <c r="Z48" s="311"/>
      <c r="AA48" s="311"/>
      <c r="AB48" s="311"/>
      <c r="AC48" s="311"/>
      <c r="AD48" s="311"/>
      <c r="AE48" s="311"/>
      <c r="AF48" s="311"/>
      <c r="AG48" s="118"/>
    </row>
    <row r="49" spans="1:33">
      <c r="A49" s="148" t="s">
        <v>150</v>
      </c>
      <c r="B49" s="149"/>
      <c r="C49" s="149"/>
      <c r="D49" s="418">
        <v>450</v>
      </c>
      <c r="E49" s="242" t="s">
        <v>137</v>
      </c>
      <c r="F49" s="222">
        <f t="shared" si="28"/>
        <v>72000</v>
      </c>
      <c r="G49" s="311"/>
      <c r="H49" s="124"/>
      <c r="I49" s="143" t="s">
        <v>151</v>
      </c>
      <c r="J49" s="427"/>
      <c r="K49" s="311"/>
      <c r="L49" s="216">
        <f ca="1">IFERROR(-'Cash Flow - Modular'!B30,0)</f>
        <v>1082598.3141501276</v>
      </c>
      <c r="M49" s="128"/>
      <c r="N49" s="311"/>
      <c r="O49" s="129"/>
      <c r="P49" s="143" t="s">
        <v>151</v>
      </c>
      <c r="Q49" s="427"/>
      <c r="R49" s="311"/>
      <c r="S49" s="216">
        <f ca="1">IFERROR(-'Cash Flow - Traditional'!B30,0)</f>
        <v>1318058.9305240291</v>
      </c>
      <c r="T49" s="130"/>
      <c r="U49" s="311"/>
      <c r="V49" s="311"/>
      <c r="W49" s="311"/>
      <c r="X49" s="311"/>
      <c r="Y49" s="311"/>
      <c r="Z49" s="311"/>
      <c r="AA49" s="311"/>
      <c r="AB49" s="311"/>
      <c r="AC49" s="311"/>
      <c r="AD49" s="311"/>
      <c r="AE49" s="311"/>
      <c r="AF49" s="311"/>
      <c r="AG49" s="118"/>
    </row>
    <row r="50" spans="1:33">
      <c r="A50" s="317" t="s">
        <v>152</v>
      </c>
      <c r="B50" s="190"/>
      <c r="C50" s="190"/>
      <c r="D50" s="190"/>
      <c r="E50" s="190"/>
      <c r="F50" s="191"/>
      <c r="G50" s="434"/>
      <c r="H50" s="124"/>
      <c r="I50" s="143" t="s">
        <v>153</v>
      </c>
      <c r="J50" s="427"/>
      <c r="K50" s="311"/>
      <c r="L50" s="216">
        <f ca="1">IFERROR(L60+L67,0)</f>
        <v>283203.77108124946</v>
      </c>
      <c r="M50" s="128"/>
      <c r="N50" s="311"/>
      <c r="O50" s="129"/>
      <c r="P50" s="143" t="s">
        <v>153</v>
      </c>
      <c r="Q50" s="427"/>
      <c r="R50" s="311"/>
      <c r="S50" s="216">
        <f ca="1">IFERROR(S60+S67,0)</f>
        <v>284990.84543556022</v>
      </c>
      <c r="T50" s="130"/>
      <c r="U50" s="311"/>
      <c r="V50" s="311"/>
      <c r="W50" s="311"/>
      <c r="X50" s="311"/>
      <c r="Y50" s="311"/>
      <c r="Z50" s="311"/>
      <c r="AA50" s="311"/>
      <c r="AB50" s="311"/>
      <c r="AC50" s="311"/>
      <c r="AD50" s="311"/>
      <c r="AE50" s="311"/>
      <c r="AF50" s="311"/>
      <c r="AG50" s="118"/>
    </row>
    <row r="51" spans="1:33">
      <c r="A51" s="448" t="s">
        <v>152</v>
      </c>
      <c r="B51" s="420"/>
      <c r="C51" s="420"/>
      <c r="D51" s="421">
        <v>0.02</v>
      </c>
      <c r="E51" s="422" t="s">
        <v>144</v>
      </c>
      <c r="F51" s="423">
        <f>D51*F36</f>
        <v>81440</v>
      </c>
      <c r="G51" s="311"/>
      <c r="H51" s="217"/>
      <c r="I51" s="153" t="s">
        <v>154</v>
      </c>
      <c r="J51" s="154"/>
      <c r="K51" s="149"/>
      <c r="L51" s="218">
        <f ca="1">IFERROR(-'Cash Flow - Modular'!B31,0)</f>
        <v>884826.46453725419</v>
      </c>
      <c r="M51" s="219"/>
      <c r="N51" s="311"/>
      <c r="O51" s="220"/>
      <c r="P51" s="153" t="s">
        <v>154</v>
      </c>
      <c r="Q51" s="154"/>
      <c r="R51" s="149"/>
      <c r="S51" s="218">
        <f ca="1">IFERROR(-'Cash Flow - Traditional'!B31,0)</f>
        <v>875408.15981408744</v>
      </c>
      <c r="T51" s="221"/>
      <c r="U51" s="311"/>
      <c r="V51" s="311"/>
      <c r="W51" s="311"/>
      <c r="X51" s="311"/>
      <c r="Y51" s="311"/>
      <c r="Z51" s="311"/>
      <c r="AA51" s="311"/>
      <c r="AB51" s="311"/>
      <c r="AC51" s="311"/>
      <c r="AD51" s="311"/>
      <c r="AE51" s="311"/>
      <c r="AF51" s="311"/>
      <c r="AG51" s="118"/>
    </row>
    <row r="52" spans="1:33">
      <c r="A52" s="135"/>
      <c r="B52" s="311"/>
      <c r="C52" s="311"/>
      <c r="D52" s="215"/>
      <c r="E52" s="311"/>
      <c r="F52" s="416"/>
      <c r="G52" s="311"/>
      <c r="H52" s="124"/>
      <c r="I52" s="160" t="s">
        <v>155</v>
      </c>
      <c r="J52" s="196"/>
      <c r="K52" s="197">
        <f ca="1">L52/K14</f>
        <v>18.75523751115314</v>
      </c>
      <c r="L52" s="198">
        <f ca="1">SUM(L49:L51)</f>
        <v>2250628.5497686313</v>
      </c>
      <c r="M52" s="128"/>
      <c r="N52" s="449"/>
      <c r="O52" s="129"/>
      <c r="P52" s="160" t="s">
        <v>155</v>
      </c>
      <c r="Q52" s="196"/>
      <c r="R52" s="197">
        <f ca="1">S52/R14</f>
        <v>20.653240879356357</v>
      </c>
      <c r="S52" s="198">
        <f ca="1">SUM(S49:S51)</f>
        <v>2478457.9357736767</v>
      </c>
      <c r="T52" s="130"/>
      <c r="U52" s="311"/>
      <c r="V52" s="311"/>
      <c r="W52" s="311"/>
      <c r="X52" s="311"/>
      <c r="Y52" s="311"/>
      <c r="Z52" s="311"/>
      <c r="AA52" s="311"/>
      <c r="AB52" s="311"/>
      <c r="AC52" s="311"/>
      <c r="AD52" s="311"/>
      <c r="AE52" s="311"/>
      <c r="AF52" s="311"/>
      <c r="AG52" s="118"/>
    </row>
    <row r="53" spans="1:33" ht="15">
      <c r="A53" s="450"/>
      <c r="B53"/>
      <c r="C53"/>
      <c r="D53"/>
      <c r="E53"/>
      <c r="F53"/>
      <c r="G53" s="311"/>
      <c r="H53" s="124"/>
      <c r="I53" s="429"/>
      <c r="J53" s="429"/>
      <c r="K53" s="429"/>
      <c r="L53" s="429"/>
      <c r="M53" s="128"/>
      <c r="N53" s="311"/>
      <c r="O53" s="129"/>
      <c r="P53" s="430"/>
      <c r="Q53" s="430"/>
      <c r="R53" s="430"/>
      <c r="S53" s="430"/>
      <c r="T53" s="130"/>
      <c r="U53" s="311"/>
      <c r="V53" s="311"/>
      <c r="W53" s="311"/>
      <c r="X53" s="311"/>
      <c r="Y53" s="311"/>
      <c r="Z53" s="311"/>
      <c r="AA53" s="311"/>
      <c r="AB53" s="311"/>
      <c r="AC53" s="311"/>
      <c r="AD53" s="311"/>
      <c r="AE53" s="311"/>
      <c r="AF53" s="311"/>
      <c r="AG53" s="118"/>
    </row>
    <row r="54" spans="1:33" ht="15">
      <c r="A54" s="450"/>
      <c r="B54"/>
      <c r="C54"/>
      <c r="D54"/>
      <c r="E54"/>
      <c r="F54"/>
      <c r="G54" s="311"/>
      <c r="H54" s="124"/>
      <c r="I54" s="446"/>
      <c r="J54" s="429"/>
      <c r="K54" s="460" t="s">
        <v>156</v>
      </c>
      <c r="L54" s="446">
        <f ca="1">L51+L49</f>
        <v>1967424.7786873817</v>
      </c>
      <c r="M54" s="128"/>
      <c r="N54" s="311"/>
      <c r="O54" s="223"/>
      <c r="P54" s="430"/>
      <c r="Q54" s="430"/>
      <c r="R54" s="461" t="s">
        <v>156</v>
      </c>
      <c r="S54" s="447">
        <f ca="1">S51+S49</f>
        <v>2193467.0903381165</v>
      </c>
      <c r="T54" s="130"/>
      <c r="U54" s="311"/>
      <c r="V54" s="311"/>
      <c r="W54" s="311"/>
      <c r="X54" s="311"/>
      <c r="Y54" s="311"/>
      <c r="Z54" s="311"/>
      <c r="AA54" s="311"/>
      <c r="AB54" s="311"/>
      <c r="AC54" s="311"/>
      <c r="AD54" s="311"/>
      <c r="AE54" s="311"/>
      <c r="AF54" s="311"/>
      <c r="AG54" s="118"/>
    </row>
    <row r="55" spans="1:33" ht="15">
      <c r="A55" s="450"/>
      <c r="B55"/>
      <c r="C55"/>
      <c r="D55"/>
      <c r="E55"/>
      <c r="F55"/>
      <c r="G55" s="311"/>
      <c r="H55" s="124"/>
      <c r="I55" s="429"/>
      <c r="J55" s="429"/>
      <c r="K55" s="460" t="s">
        <v>157</v>
      </c>
      <c r="L55" s="446">
        <f>(R13-K13)*'Cash Flow - Modular'!AB68</f>
        <v>2374202.333333333</v>
      </c>
      <c r="M55" s="128"/>
      <c r="N55" s="311"/>
      <c r="O55" s="223"/>
      <c r="P55" s="430"/>
      <c r="Q55" s="430"/>
      <c r="R55" s="430"/>
      <c r="S55" s="430"/>
      <c r="T55" s="130"/>
      <c r="U55" s="311"/>
      <c r="V55" s="311"/>
      <c r="W55" s="311"/>
      <c r="X55" s="311"/>
      <c r="Y55" s="311"/>
      <c r="Z55" s="311"/>
      <c r="AA55" s="311"/>
      <c r="AB55" s="311"/>
      <c r="AC55" s="311"/>
      <c r="AD55" s="311"/>
      <c r="AE55" s="311"/>
      <c r="AF55" s="311"/>
      <c r="AG55" s="118"/>
    </row>
    <row r="56" spans="1:33" ht="15">
      <c r="A56" s="450"/>
      <c r="B56"/>
      <c r="C56"/>
      <c r="D56"/>
      <c r="E56"/>
      <c r="F56"/>
      <c r="G56" s="311"/>
      <c r="H56" s="124"/>
      <c r="I56" s="429"/>
      <c r="J56" s="429"/>
      <c r="K56" s="429"/>
      <c r="L56" s="446"/>
      <c r="M56" s="128"/>
      <c r="N56" s="311"/>
      <c r="O56" s="129"/>
      <c r="P56" s="451"/>
      <c r="Q56" s="430"/>
      <c r="R56" s="430"/>
      <c r="S56" s="430"/>
      <c r="T56" s="130"/>
      <c r="U56" s="311"/>
      <c r="V56" s="311"/>
      <c r="W56" s="311"/>
      <c r="X56" s="311"/>
      <c r="Y56" s="311"/>
      <c r="Z56" s="311"/>
      <c r="AA56" s="311"/>
      <c r="AB56" s="311"/>
      <c r="AC56" s="311"/>
      <c r="AD56" s="311"/>
      <c r="AE56" s="311"/>
      <c r="AF56" s="311"/>
      <c r="AG56" s="118"/>
    </row>
    <row r="57" spans="1:33" ht="15">
      <c r="A57" s="450"/>
      <c r="B57"/>
      <c r="C57"/>
      <c r="D57"/>
      <c r="E57"/>
      <c r="F57"/>
      <c r="G57" s="311"/>
      <c r="H57" s="124"/>
      <c r="I57" s="474"/>
      <c r="J57" s="474"/>
      <c r="K57" s="474"/>
      <c r="L57" s="474"/>
      <c r="M57" s="128"/>
      <c r="N57" s="311"/>
      <c r="O57" s="129"/>
      <c r="P57" s="430"/>
      <c r="Q57" s="430"/>
      <c r="R57" s="430"/>
      <c r="S57" s="430"/>
      <c r="T57" s="130"/>
      <c r="U57" s="311"/>
      <c r="V57" s="311"/>
      <c r="W57" s="311"/>
      <c r="X57" s="311"/>
      <c r="Y57" s="311"/>
      <c r="Z57" s="311"/>
      <c r="AA57" s="311"/>
      <c r="AB57" s="311"/>
      <c r="AC57" s="311"/>
      <c r="AD57" s="311"/>
      <c r="AE57" s="311"/>
      <c r="AF57" s="311"/>
      <c r="AG57" s="118"/>
    </row>
    <row r="58" spans="1:33">
      <c r="A58" s="135"/>
      <c r="B58" s="311"/>
      <c r="C58" s="311"/>
      <c r="D58" s="311"/>
      <c r="E58" s="311"/>
      <c r="F58" s="311"/>
      <c r="G58" s="311"/>
      <c r="H58" s="124"/>
      <c r="I58" s="125" t="s">
        <v>158</v>
      </c>
      <c r="J58" s="224"/>
      <c r="K58" s="224"/>
      <c r="L58" s="225"/>
      <c r="M58" s="128"/>
      <c r="N58" s="311"/>
      <c r="O58" s="129"/>
      <c r="P58" s="125" t="s">
        <v>158</v>
      </c>
      <c r="Q58" s="224"/>
      <c r="R58" s="224"/>
      <c r="S58" s="225"/>
      <c r="T58" s="130"/>
      <c r="U58" s="311"/>
      <c r="V58" s="311"/>
      <c r="W58" s="311"/>
      <c r="X58" s="311"/>
      <c r="Y58" s="311"/>
      <c r="Z58" s="311"/>
      <c r="AA58" s="311"/>
      <c r="AB58" s="311"/>
      <c r="AC58" s="311"/>
      <c r="AD58" s="311"/>
      <c r="AE58" s="311"/>
      <c r="AF58" s="311"/>
      <c r="AG58" s="118"/>
    </row>
    <row r="59" spans="1:33">
      <c r="A59" s="135"/>
      <c r="B59" s="311"/>
      <c r="C59" s="311"/>
      <c r="D59" s="311"/>
      <c r="E59" s="311"/>
      <c r="F59" s="311"/>
      <c r="G59" s="311"/>
      <c r="H59" s="124"/>
      <c r="I59" s="143" t="s">
        <v>159</v>
      </c>
      <c r="J59" s="311"/>
      <c r="K59" s="226">
        <v>0.6</v>
      </c>
      <c r="L59" s="170">
        <f ca="1">L78*K59</f>
        <v>28320377.100803025</v>
      </c>
      <c r="M59" s="227"/>
      <c r="N59" s="311"/>
      <c r="O59" s="129"/>
      <c r="P59" s="143" t="s">
        <v>159</v>
      </c>
      <c r="Q59" s="311"/>
      <c r="R59" s="226">
        <v>0.6</v>
      </c>
      <c r="S59" s="170">
        <f ca="1">S78*R59</f>
        <v>28499033.343313657</v>
      </c>
      <c r="T59" s="130"/>
      <c r="U59" s="311"/>
      <c r="V59" s="311"/>
      <c r="W59" s="311"/>
      <c r="X59" s="311"/>
      <c r="Y59" s="311"/>
      <c r="Z59" s="311"/>
      <c r="AA59" s="311"/>
      <c r="AB59" s="311"/>
      <c r="AC59" s="311"/>
      <c r="AD59" s="311"/>
      <c r="AE59" s="311"/>
      <c r="AF59" s="311"/>
      <c r="AG59" s="118"/>
    </row>
    <row r="60" spans="1:33">
      <c r="A60" s="135"/>
      <c r="B60" s="311"/>
      <c r="C60" s="311"/>
      <c r="D60" s="311"/>
      <c r="E60" s="311"/>
      <c r="F60" s="311"/>
      <c r="G60" s="311"/>
      <c r="H60" s="124"/>
      <c r="I60" s="143" t="s">
        <v>160</v>
      </c>
      <c r="J60" s="311"/>
      <c r="K60" s="215">
        <v>0.01</v>
      </c>
      <c r="L60" s="170">
        <f ca="1">K60*L59</f>
        <v>283203.77100803028</v>
      </c>
      <c r="M60" s="128"/>
      <c r="N60" s="311"/>
      <c r="O60" s="129"/>
      <c r="P60" s="143" t="s">
        <v>160</v>
      </c>
      <c r="Q60" s="311"/>
      <c r="R60" s="215">
        <v>0.01</v>
      </c>
      <c r="S60" s="170">
        <f ca="1">R60*S59</f>
        <v>284990.33343313658</v>
      </c>
      <c r="T60" s="130"/>
      <c r="U60" s="311"/>
      <c r="V60" s="311"/>
      <c r="W60" s="311"/>
      <c r="X60" s="311"/>
      <c r="Y60" s="311"/>
      <c r="Z60" s="311"/>
      <c r="AA60" s="311"/>
      <c r="AB60" s="311"/>
      <c r="AC60" s="311"/>
      <c r="AD60" s="311"/>
      <c r="AE60" s="311"/>
      <c r="AF60" s="311"/>
      <c r="AG60" s="118"/>
    </row>
    <row r="61" spans="1:33">
      <c r="A61" s="135"/>
      <c r="B61" s="311"/>
      <c r="C61" s="311"/>
      <c r="D61" s="311"/>
      <c r="E61" s="311"/>
      <c r="F61" s="311"/>
      <c r="G61" s="311"/>
      <c r="H61" s="124"/>
      <c r="I61" s="143" t="s">
        <v>161</v>
      </c>
      <c r="J61" s="311"/>
      <c r="K61" s="311"/>
      <c r="L61" s="228">
        <v>0.08</v>
      </c>
      <c r="M61" s="128"/>
      <c r="N61" s="311"/>
      <c r="O61" s="129"/>
      <c r="P61" s="143" t="s">
        <v>161</v>
      </c>
      <c r="Q61" s="311"/>
      <c r="R61" s="311"/>
      <c r="S61" s="228">
        <v>0.08</v>
      </c>
      <c r="T61" s="130"/>
      <c r="U61" s="311"/>
      <c r="V61" s="311"/>
      <c r="W61" s="311"/>
      <c r="X61" s="311"/>
      <c r="Y61" s="311"/>
      <c r="Z61" s="311"/>
      <c r="AA61" s="311"/>
      <c r="AB61" s="311"/>
      <c r="AC61" s="311"/>
      <c r="AD61" s="311"/>
      <c r="AE61" s="311"/>
      <c r="AF61" s="311"/>
      <c r="AG61" s="118"/>
    </row>
    <row r="62" spans="1:33">
      <c r="A62" s="135"/>
      <c r="B62" s="311"/>
      <c r="C62" s="311"/>
      <c r="D62" s="311"/>
      <c r="E62" s="311"/>
      <c r="F62" s="311"/>
      <c r="G62" s="311"/>
      <c r="H62" s="124"/>
      <c r="I62" s="143" t="s">
        <v>162</v>
      </c>
      <c r="J62" s="311"/>
      <c r="K62" s="311"/>
      <c r="L62" s="229" t="s">
        <v>163</v>
      </c>
      <c r="M62" s="128"/>
      <c r="N62" s="311"/>
      <c r="O62" s="129"/>
      <c r="P62" s="143" t="s">
        <v>162</v>
      </c>
      <c r="Q62" s="311"/>
      <c r="R62" s="311"/>
      <c r="S62" s="229" t="s">
        <v>163</v>
      </c>
      <c r="T62" s="130"/>
      <c r="U62" s="311"/>
      <c r="V62" s="311"/>
      <c r="W62" s="311"/>
      <c r="X62" s="311"/>
      <c r="Y62" s="311"/>
      <c r="Z62" s="311"/>
      <c r="AA62" s="311"/>
      <c r="AB62" s="311"/>
      <c r="AC62" s="311"/>
      <c r="AD62" s="311"/>
      <c r="AE62" s="311"/>
      <c r="AF62" s="311"/>
      <c r="AG62" s="118"/>
    </row>
    <row r="63" spans="1:33">
      <c r="A63" s="135"/>
      <c r="B63" s="311"/>
      <c r="C63" s="311"/>
      <c r="D63" s="311"/>
      <c r="E63" s="311"/>
      <c r="F63" s="311"/>
      <c r="G63" s="311"/>
      <c r="H63" s="124"/>
      <c r="I63" s="153" t="s">
        <v>164</v>
      </c>
      <c r="J63" s="149"/>
      <c r="K63" s="149"/>
      <c r="L63" s="230">
        <v>5</v>
      </c>
      <c r="M63" s="128"/>
      <c r="N63" s="311"/>
      <c r="O63" s="129"/>
      <c r="P63" s="153" t="s">
        <v>164</v>
      </c>
      <c r="Q63" s="149"/>
      <c r="R63" s="149"/>
      <c r="S63" s="230">
        <v>5</v>
      </c>
      <c r="T63" s="130"/>
      <c r="U63" s="311"/>
      <c r="V63" s="311"/>
      <c r="W63" s="311"/>
      <c r="X63" s="311"/>
      <c r="Y63" s="311"/>
      <c r="Z63" s="311"/>
      <c r="AA63" s="311"/>
      <c r="AB63" s="311"/>
      <c r="AC63" s="311"/>
      <c r="AD63" s="311"/>
      <c r="AE63" s="311"/>
      <c r="AF63" s="311"/>
      <c r="AG63" s="118"/>
    </row>
    <row r="64" spans="1:33">
      <c r="A64" s="135"/>
      <c r="B64" s="311"/>
      <c r="C64" s="311"/>
      <c r="D64" s="311"/>
      <c r="E64" s="311"/>
      <c r="F64" s="311"/>
      <c r="G64" s="311"/>
      <c r="H64" s="124"/>
      <c r="I64" s="429"/>
      <c r="J64" s="429"/>
      <c r="K64" s="429"/>
      <c r="L64" s="429"/>
      <c r="M64" s="128"/>
      <c r="N64" s="311"/>
      <c r="O64" s="129"/>
      <c r="P64" s="430"/>
      <c r="Q64" s="430"/>
      <c r="R64" s="430"/>
      <c r="S64" s="430"/>
      <c r="T64" s="130"/>
      <c r="U64" s="311"/>
      <c r="V64" s="311"/>
      <c r="W64" s="311"/>
      <c r="X64" s="311"/>
      <c r="Y64" s="311"/>
      <c r="Z64" s="311"/>
      <c r="AA64" s="311"/>
      <c r="AB64" s="311"/>
      <c r="AC64" s="311"/>
      <c r="AD64" s="311"/>
      <c r="AE64" s="311"/>
      <c r="AF64" s="311"/>
      <c r="AG64" s="118"/>
    </row>
    <row r="65" spans="1:33">
      <c r="A65" s="135"/>
      <c r="B65" s="311"/>
      <c r="C65" s="311"/>
      <c r="D65" s="311"/>
      <c r="E65" s="311"/>
      <c r="F65" s="311"/>
      <c r="G65" s="311"/>
      <c r="H65" s="124"/>
      <c r="I65" s="125" t="s">
        <v>165</v>
      </c>
      <c r="J65" s="224"/>
      <c r="K65" s="224"/>
      <c r="L65" s="225"/>
      <c r="M65" s="128"/>
      <c r="N65" s="311"/>
      <c r="O65" s="129"/>
      <c r="P65" s="125" t="s">
        <v>165</v>
      </c>
      <c r="Q65" s="224"/>
      <c r="R65" s="224"/>
      <c r="S65" s="225"/>
      <c r="T65" s="130"/>
      <c r="U65" s="311"/>
      <c r="V65" s="311"/>
      <c r="W65" s="311"/>
      <c r="X65" s="311"/>
      <c r="Y65" s="311"/>
      <c r="Z65" s="311"/>
      <c r="AA65" s="311"/>
      <c r="AB65" s="311"/>
      <c r="AC65" s="311"/>
      <c r="AD65" s="311"/>
      <c r="AE65" s="311"/>
      <c r="AF65" s="311"/>
      <c r="AG65" s="118"/>
    </row>
    <row r="66" spans="1:33">
      <c r="A66" s="135"/>
      <c r="B66" s="311"/>
      <c r="C66" s="311"/>
      <c r="D66" s="311"/>
      <c r="E66" s="311"/>
      <c r="F66" s="311"/>
      <c r="G66" s="311"/>
      <c r="H66" s="124"/>
      <c r="I66" s="143" t="s">
        <v>159</v>
      </c>
      <c r="J66" s="311"/>
      <c r="K66" s="226">
        <v>0</v>
      </c>
      <c r="L66" s="170">
        <f ca="1">L78*K66</f>
        <v>0</v>
      </c>
      <c r="M66" s="128"/>
      <c r="N66" s="311"/>
      <c r="O66" s="129"/>
      <c r="P66" s="143" t="s">
        <v>159</v>
      </c>
      <c r="Q66" s="311"/>
      <c r="R66" s="226">
        <v>0</v>
      </c>
      <c r="S66" s="170">
        <f ca="1">S78*R66</f>
        <v>0</v>
      </c>
      <c r="T66" s="130"/>
      <c r="U66" s="311"/>
      <c r="V66" s="311"/>
      <c r="W66" s="311"/>
      <c r="X66" s="311"/>
      <c r="Y66" s="311"/>
      <c r="Z66" s="311"/>
      <c r="AA66" s="311"/>
      <c r="AB66" s="311"/>
      <c r="AC66" s="311"/>
      <c r="AD66" s="311"/>
      <c r="AE66" s="311"/>
      <c r="AF66" s="311"/>
      <c r="AG66" s="118"/>
    </row>
    <row r="67" spans="1:33">
      <c r="A67" s="135"/>
      <c r="B67" s="311"/>
      <c r="C67" s="311"/>
      <c r="D67" s="311"/>
      <c r="E67" s="311"/>
      <c r="F67" s="311"/>
      <c r="G67" s="311"/>
      <c r="H67" s="124"/>
      <c r="I67" s="143" t="s">
        <v>160</v>
      </c>
      <c r="J67" s="311"/>
      <c r="K67" s="215">
        <v>0.01</v>
      </c>
      <c r="L67" s="170">
        <f ca="1">K67*L66</f>
        <v>0</v>
      </c>
      <c r="M67" s="128"/>
      <c r="N67" s="311"/>
      <c r="O67" s="129"/>
      <c r="P67" s="143" t="s">
        <v>160</v>
      </c>
      <c r="Q67" s="311"/>
      <c r="R67" s="215">
        <v>0.01</v>
      </c>
      <c r="S67" s="170">
        <f ca="1">R67*S66</f>
        <v>0</v>
      </c>
      <c r="T67" s="130"/>
      <c r="U67" s="311"/>
      <c r="V67" s="311"/>
      <c r="W67" s="311"/>
      <c r="X67" s="311"/>
      <c r="Y67" s="311"/>
      <c r="Z67" s="311"/>
      <c r="AA67" s="311"/>
      <c r="AB67" s="311"/>
      <c r="AC67" s="311"/>
      <c r="AD67" s="311"/>
      <c r="AE67" s="311"/>
      <c r="AF67" s="311"/>
      <c r="AG67" s="118"/>
    </row>
    <row r="68" spans="1:33">
      <c r="A68" s="135"/>
      <c r="B68" s="311"/>
      <c r="C68" s="311"/>
      <c r="D68" s="311"/>
      <c r="E68" s="311"/>
      <c r="F68" s="311"/>
      <c r="G68" s="311"/>
      <c r="H68" s="124"/>
      <c r="I68" s="143" t="s">
        <v>161</v>
      </c>
      <c r="J68" s="311"/>
      <c r="K68" s="311"/>
      <c r="L68" s="228">
        <v>0.17</v>
      </c>
      <c r="M68" s="128"/>
      <c r="N68" s="311"/>
      <c r="O68" s="129"/>
      <c r="P68" s="143" t="s">
        <v>161</v>
      </c>
      <c r="Q68" s="311"/>
      <c r="R68" s="311"/>
      <c r="S68" s="228">
        <v>0.17</v>
      </c>
      <c r="T68" s="130"/>
      <c r="U68" s="311"/>
      <c r="V68" s="311"/>
      <c r="W68" s="311"/>
      <c r="X68" s="311"/>
      <c r="Y68" s="311"/>
      <c r="Z68" s="311"/>
      <c r="AA68" s="311"/>
      <c r="AB68" s="311"/>
      <c r="AC68" s="311"/>
      <c r="AD68" s="311"/>
      <c r="AE68" s="311"/>
      <c r="AF68" s="311"/>
      <c r="AG68" s="118"/>
    </row>
    <row r="69" spans="1:33">
      <c r="A69" s="135"/>
      <c r="B69" s="311"/>
      <c r="C69" s="311"/>
      <c r="D69" s="311"/>
      <c r="E69" s="311"/>
      <c r="F69" s="311"/>
      <c r="G69" s="311"/>
      <c r="H69" s="124"/>
      <c r="I69" s="143" t="s">
        <v>162</v>
      </c>
      <c r="J69" s="311"/>
      <c r="K69" s="311"/>
      <c r="L69" s="229" t="s">
        <v>166</v>
      </c>
      <c r="M69" s="128"/>
      <c r="N69" s="311"/>
      <c r="O69" s="129"/>
      <c r="P69" s="143" t="s">
        <v>162</v>
      </c>
      <c r="Q69" s="311"/>
      <c r="R69" s="311"/>
      <c r="S69" s="229" t="s">
        <v>166</v>
      </c>
      <c r="T69" s="130"/>
      <c r="U69" s="311"/>
      <c r="V69" s="311"/>
      <c r="W69" s="311"/>
      <c r="X69" s="311"/>
      <c r="Y69" s="311"/>
      <c r="Z69" s="311"/>
      <c r="AA69" s="311"/>
      <c r="AB69" s="311"/>
      <c r="AC69" s="311"/>
      <c r="AD69" s="311"/>
      <c r="AE69" s="311"/>
      <c r="AF69" s="311"/>
      <c r="AG69" s="118"/>
    </row>
    <row r="70" spans="1:33">
      <c r="A70" s="135"/>
      <c r="B70" s="311"/>
      <c r="C70" s="311"/>
      <c r="D70" s="311"/>
      <c r="E70" s="311"/>
      <c r="F70" s="311"/>
      <c r="G70" s="311"/>
      <c r="H70" s="124"/>
      <c r="I70" s="143" t="s">
        <v>164</v>
      </c>
      <c r="J70" s="311"/>
      <c r="K70" s="311"/>
      <c r="L70" s="231">
        <v>5</v>
      </c>
      <c r="M70" s="128"/>
      <c r="N70" s="311"/>
      <c r="O70" s="129"/>
      <c r="P70" s="143" t="s">
        <v>164</v>
      </c>
      <c r="Q70" s="311"/>
      <c r="R70" s="311"/>
      <c r="S70" s="231">
        <v>5</v>
      </c>
      <c r="T70" s="130"/>
      <c r="U70" s="311"/>
      <c r="V70" s="311"/>
      <c r="W70" s="311"/>
      <c r="X70" s="311"/>
      <c r="Y70" s="311"/>
      <c r="Z70" s="311"/>
      <c r="AA70" s="311"/>
      <c r="AB70" s="311"/>
      <c r="AC70" s="311"/>
      <c r="AD70" s="311"/>
      <c r="AE70" s="311"/>
      <c r="AF70" s="311"/>
      <c r="AG70" s="118"/>
    </row>
    <row r="71" spans="1:33">
      <c r="A71" s="135"/>
      <c r="B71" s="311"/>
      <c r="C71" s="311"/>
      <c r="D71" s="311"/>
      <c r="E71" s="311"/>
      <c r="F71" s="311"/>
      <c r="G71" s="311"/>
      <c r="H71" s="124"/>
      <c r="I71" s="232"/>
      <c r="J71" s="232"/>
      <c r="K71" s="232"/>
      <c r="L71" s="233"/>
      <c r="M71" s="128"/>
      <c r="N71" s="311"/>
      <c r="O71" s="129"/>
      <c r="P71" s="234"/>
      <c r="Q71" s="234"/>
      <c r="R71" s="234"/>
      <c r="S71" s="235"/>
      <c r="T71" s="130"/>
      <c r="U71" s="311"/>
      <c r="V71" s="311"/>
      <c r="W71" s="311"/>
      <c r="X71" s="311"/>
      <c r="Y71" s="311"/>
      <c r="Z71" s="311"/>
      <c r="AA71" s="311"/>
      <c r="AB71" s="311"/>
      <c r="AC71" s="311"/>
      <c r="AD71" s="311"/>
      <c r="AE71" s="311"/>
      <c r="AF71" s="311"/>
      <c r="AG71" s="118"/>
    </row>
    <row r="72" spans="1:33">
      <c r="A72" s="135"/>
      <c r="B72" s="311"/>
      <c r="C72" s="311"/>
      <c r="D72" s="311"/>
      <c r="E72" s="311"/>
      <c r="F72" s="311"/>
      <c r="G72" s="311"/>
      <c r="H72" s="124"/>
      <c r="I72" s="236" t="s">
        <v>167</v>
      </c>
      <c r="J72" s="452"/>
      <c r="K72" s="452"/>
      <c r="L72" s="237"/>
      <c r="M72" s="128"/>
      <c r="N72" s="311"/>
      <c r="O72" s="129"/>
      <c r="P72" s="236" t="s">
        <v>167</v>
      </c>
      <c r="Q72" s="452"/>
      <c r="R72" s="452"/>
      <c r="S72" s="237"/>
      <c r="T72" s="130"/>
      <c r="U72" s="311"/>
      <c r="V72" s="311"/>
      <c r="W72" s="311"/>
      <c r="X72" s="311"/>
      <c r="Y72" s="311"/>
      <c r="Z72" s="311"/>
      <c r="AA72" s="311"/>
      <c r="AB72" s="311"/>
      <c r="AC72" s="311"/>
      <c r="AD72" s="311"/>
      <c r="AE72" s="311"/>
      <c r="AF72" s="311"/>
      <c r="AG72" s="118"/>
    </row>
    <row r="73" spans="1:33">
      <c r="A73" s="135"/>
      <c r="B73" s="311"/>
      <c r="C73" s="311"/>
      <c r="D73" s="311"/>
      <c r="E73" s="311"/>
      <c r="F73" s="311"/>
      <c r="G73" s="311"/>
      <c r="H73" s="124"/>
      <c r="I73" s="309" t="s">
        <v>27</v>
      </c>
      <c r="J73" s="293"/>
      <c r="K73" s="293" t="s">
        <v>168</v>
      </c>
      <c r="L73" s="310" t="s">
        <v>86</v>
      </c>
      <c r="M73" s="128"/>
      <c r="N73" s="311"/>
      <c r="O73" s="129"/>
      <c r="P73" s="309" t="s">
        <v>27</v>
      </c>
      <c r="Q73" s="293"/>
      <c r="R73" s="293" t="s">
        <v>168</v>
      </c>
      <c r="S73" s="310" t="s">
        <v>86</v>
      </c>
      <c r="T73" s="130"/>
      <c r="U73" s="311"/>
      <c r="V73" s="311"/>
      <c r="W73" s="311"/>
      <c r="X73" s="311"/>
      <c r="Y73" s="311"/>
      <c r="Z73" s="311"/>
      <c r="AA73" s="311"/>
      <c r="AB73" s="311"/>
      <c r="AC73" s="311"/>
      <c r="AD73" s="311"/>
      <c r="AE73" s="311"/>
      <c r="AF73" s="311"/>
      <c r="AG73" s="118"/>
    </row>
    <row r="74" spans="1:33">
      <c r="A74" s="135"/>
      <c r="B74" s="311"/>
      <c r="C74" s="311"/>
      <c r="D74" s="311"/>
      <c r="E74" s="311"/>
      <c r="F74" s="311"/>
      <c r="G74" s="311"/>
      <c r="H74" s="124"/>
      <c r="I74" s="137" t="s">
        <v>169</v>
      </c>
      <c r="J74" s="238"/>
      <c r="K74" s="238">
        <f>L74/$K$14</f>
        <v>41.666666666666664</v>
      </c>
      <c r="L74" s="239">
        <v>5000000</v>
      </c>
      <c r="M74" s="128"/>
      <c r="N74" s="311"/>
      <c r="O74" s="129"/>
      <c r="P74" s="137" t="s">
        <v>169</v>
      </c>
      <c r="Q74" s="238"/>
      <c r="R74" s="238">
        <f>S74/$K$14</f>
        <v>41.666666666666664</v>
      </c>
      <c r="S74" s="239">
        <v>5000000</v>
      </c>
      <c r="T74" s="130"/>
      <c r="U74" s="311"/>
      <c r="V74" s="311"/>
      <c r="W74" s="311"/>
      <c r="X74" s="311"/>
      <c r="Y74" s="311"/>
      <c r="Z74" s="311"/>
      <c r="AA74" s="311"/>
      <c r="AB74" s="311"/>
      <c r="AC74" s="311"/>
      <c r="AD74" s="311"/>
      <c r="AE74" s="311"/>
      <c r="AF74" s="311"/>
      <c r="AG74" s="118"/>
    </row>
    <row r="75" spans="1:33">
      <c r="A75" s="135"/>
      <c r="B75" s="311"/>
      <c r="C75" s="311"/>
      <c r="D75" s="311"/>
      <c r="E75" s="311"/>
      <c r="F75" s="311"/>
      <c r="G75" s="311"/>
      <c r="H75" s="124"/>
      <c r="I75" s="143" t="s">
        <v>29</v>
      </c>
      <c r="J75" s="416"/>
      <c r="K75" s="416">
        <f>L75/$K$14</f>
        <v>300</v>
      </c>
      <c r="L75" s="170">
        <f>L30</f>
        <v>36000000</v>
      </c>
      <c r="M75" s="128"/>
      <c r="N75" s="434"/>
      <c r="O75" s="220"/>
      <c r="P75" s="143" t="s">
        <v>29</v>
      </c>
      <c r="Q75" s="416"/>
      <c r="R75" s="416">
        <f>S75/$K$14</f>
        <v>300</v>
      </c>
      <c r="S75" s="170">
        <f>S30</f>
        <v>36000000</v>
      </c>
      <c r="T75" s="130"/>
      <c r="U75" s="311"/>
      <c r="V75" s="311"/>
      <c r="W75" s="311"/>
      <c r="X75" s="311"/>
      <c r="Y75" s="311"/>
      <c r="Z75" s="311"/>
      <c r="AA75" s="311"/>
      <c r="AB75" s="311"/>
      <c r="AC75" s="311"/>
      <c r="AD75" s="311"/>
      <c r="AE75" s="311"/>
      <c r="AF75" s="311"/>
      <c r="AG75" s="118"/>
    </row>
    <row r="76" spans="1:33">
      <c r="A76" s="135"/>
      <c r="B76" s="311"/>
      <c r="C76" s="311"/>
      <c r="D76" s="311"/>
      <c r="E76" s="311"/>
      <c r="F76" s="311"/>
      <c r="G76" s="311"/>
      <c r="H76" s="124"/>
      <c r="I76" s="143" t="s">
        <v>30</v>
      </c>
      <c r="J76" s="416"/>
      <c r="K76" s="416">
        <f>L76/$K$14</f>
        <v>32.916666666666664</v>
      </c>
      <c r="L76" s="170">
        <f>L46</f>
        <v>3950000</v>
      </c>
      <c r="M76" s="128"/>
      <c r="N76" s="434"/>
      <c r="O76" s="220"/>
      <c r="P76" s="143" t="s">
        <v>30</v>
      </c>
      <c r="Q76" s="416"/>
      <c r="R76" s="416">
        <f>S76/$K$14</f>
        <v>33.5</v>
      </c>
      <c r="S76" s="170">
        <f>S46</f>
        <v>4020000</v>
      </c>
      <c r="T76" s="130"/>
      <c r="U76" s="311"/>
      <c r="V76" s="311"/>
      <c r="W76" s="311"/>
      <c r="X76" s="311"/>
      <c r="Y76" s="311"/>
      <c r="Z76" s="311"/>
      <c r="AA76" s="311"/>
      <c r="AB76" s="311"/>
      <c r="AC76" s="311"/>
      <c r="AD76" s="311"/>
      <c r="AE76" s="311"/>
      <c r="AF76" s="311"/>
      <c r="AG76" s="118"/>
    </row>
    <row r="77" spans="1:33">
      <c r="A77" s="135"/>
      <c r="B77" s="311"/>
      <c r="C77" s="311"/>
      <c r="D77" s="311"/>
      <c r="E77" s="311"/>
      <c r="F77" s="311"/>
      <c r="G77" s="311"/>
      <c r="H77" s="124"/>
      <c r="I77" s="143" t="s">
        <v>31</v>
      </c>
      <c r="J77" s="416"/>
      <c r="K77" s="416">
        <f ca="1">L77/$K$14</f>
        <v>18.75523751115314</v>
      </c>
      <c r="L77" s="170">
        <f ca="1">SUM(L49:L51)</f>
        <v>2250628.5497686313</v>
      </c>
      <c r="M77" s="128"/>
      <c r="N77" s="311"/>
      <c r="O77" s="129"/>
      <c r="P77" s="143" t="s">
        <v>31</v>
      </c>
      <c r="Q77" s="416"/>
      <c r="R77" s="416">
        <f ca="1">S77/$K$14</f>
        <v>20.653240879356357</v>
      </c>
      <c r="S77" s="170">
        <f ca="1">SUM(S49:S51)</f>
        <v>2478457.9357736767</v>
      </c>
      <c r="T77" s="130"/>
      <c r="U77" s="311"/>
      <c r="V77" s="311"/>
      <c r="W77" s="311"/>
      <c r="X77" s="311"/>
      <c r="Y77" s="311"/>
      <c r="Z77" s="311"/>
      <c r="AA77" s="311"/>
      <c r="AB77" s="311"/>
      <c r="AC77" s="311"/>
      <c r="AD77" s="311"/>
      <c r="AE77" s="311"/>
      <c r="AF77" s="311"/>
      <c r="AG77" s="118"/>
    </row>
    <row r="78" spans="1:33">
      <c r="A78" s="135"/>
      <c r="B78" s="311"/>
      <c r="C78" s="311"/>
      <c r="D78" s="311"/>
      <c r="E78" s="311"/>
      <c r="F78" s="311"/>
      <c r="G78" s="311"/>
      <c r="H78" s="124"/>
      <c r="I78" s="171" t="s">
        <v>170</v>
      </c>
      <c r="J78" s="240">
        <f ca="1">L78/$E$25</f>
        <v>11013479.983645622</v>
      </c>
      <c r="K78" s="240">
        <f ca="1">L78/K14</f>
        <v>393.33857084448647</v>
      </c>
      <c r="L78" s="241">
        <f ca="1">SUM(L74:L77)</f>
        <v>47200628.549768634</v>
      </c>
      <c r="M78" s="128"/>
      <c r="N78" s="311"/>
      <c r="O78" s="129"/>
      <c r="P78" s="171" t="s">
        <v>170</v>
      </c>
      <c r="Q78" s="240">
        <f ca="1">S78/$E$25</f>
        <v>11082957.411288645</v>
      </c>
      <c r="R78" s="240">
        <f ca="1">S78/R14</f>
        <v>395.81990754602305</v>
      </c>
      <c r="S78" s="241">
        <f ca="1">SUM(S74:S77)</f>
        <v>47498457.935773678</v>
      </c>
      <c r="T78" s="130"/>
      <c r="U78" s="311"/>
      <c r="V78" s="311"/>
      <c r="W78" s="311"/>
      <c r="X78" s="311"/>
      <c r="Y78" s="311"/>
      <c r="Z78" s="311"/>
      <c r="AA78" s="311"/>
      <c r="AB78" s="311"/>
      <c r="AC78" s="311"/>
      <c r="AD78" s="311"/>
      <c r="AE78" s="311"/>
      <c r="AF78" s="311"/>
      <c r="AG78" s="118"/>
    </row>
    <row r="79" spans="1:33">
      <c r="A79" s="135"/>
      <c r="B79" s="311"/>
      <c r="C79" s="311"/>
      <c r="D79" s="311"/>
      <c r="E79" s="311"/>
      <c r="F79" s="311"/>
      <c r="G79" s="311"/>
      <c r="H79" s="124"/>
      <c r="I79" s="309" t="s">
        <v>32</v>
      </c>
      <c r="J79" s="293"/>
      <c r="K79" s="293" t="s">
        <v>168</v>
      </c>
      <c r="L79" s="310" t="s">
        <v>86</v>
      </c>
      <c r="M79" s="128"/>
      <c r="N79" s="311"/>
      <c r="O79" s="129"/>
      <c r="P79" s="309" t="s">
        <v>32</v>
      </c>
      <c r="Q79" s="293"/>
      <c r="R79" s="293" t="s">
        <v>168</v>
      </c>
      <c r="S79" s="310" t="s">
        <v>86</v>
      </c>
      <c r="T79" s="130"/>
      <c r="U79" s="311"/>
      <c r="V79" s="311"/>
      <c r="W79" s="311"/>
      <c r="X79" s="311"/>
      <c r="Y79" s="311"/>
      <c r="Z79" s="311"/>
      <c r="AA79" s="311"/>
      <c r="AB79" s="311"/>
      <c r="AC79" s="311"/>
      <c r="AD79" s="311"/>
      <c r="AE79" s="311"/>
      <c r="AF79" s="311"/>
      <c r="AG79" s="118"/>
    </row>
    <row r="80" spans="1:33">
      <c r="A80" s="135"/>
      <c r="B80" s="311"/>
      <c r="C80" s="311"/>
      <c r="D80" s="311"/>
      <c r="E80" s="311"/>
      <c r="F80" s="311"/>
      <c r="G80" s="311"/>
      <c r="H80" s="124"/>
      <c r="I80" s="137" t="s">
        <v>171</v>
      </c>
      <c r="J80" s="238"/>
      <c r="K80" s="238">
        <f ca="1">L80/$K$14</f>
        <v>236.00314256770787</v>
      </c>
      <c r="L80" s="213">
        <f ca="1">L59</f>
        <v>28320377.100803025</v>
      </c>
      <c r="M80" s="128"/>
      <c r="N80" s="311"/>
      <c r="O80" s="129"/>
      <c r="P80" s="137" t="s">
        <v>171</v>
      </c>
      <c r="Q80" s="238"/>
      <c r="R80" s="238">
        <f ca="1">S80/$K$14</f>
        <v>237.49237119630018</v>
      </c>
      <c r="S80" s="213">
        <f ca="1">S59</f>
        <v>28499033.343313657</v>
      </c>
      <c r="T80" s="130"/>
      <c r="U80" s="311"/>
      <c r="V80" s="311"/>
      <c r="W80" s="311"/>
      <c r="X80" s="311"/>
      <c r="Y80" s="311"/>
      <c r="Z80" s="311"/>
      <c r="AA80" s="311"/>
      <c r="AB80" s="311"/>
      <c r="AC80" s="311"/>
      <c r="AD80" s="311"/>
      <c r="AE80" s="311"/>
      <c r="AF80" s="311"/>
      <c r="AG80" s="118"/>
    </row>
    <row r="81" spans="1:33">
      <c r="A81" s="135"/>
      <c r="B81" s="311"/>
      <c r="C81" s="311"/>
      <c r="D81" s="311"/>
      <c r="E81" s="311"/>
      <c r="F81" s="311"/>
      <c r="G81" s="311"/>
      <c r="H81" s="124"/>
      <c r="I81" s="143" t="s">
        <v>34</v>
      </c>
      <c r="J81" s="416"/>
      <c r="K81" s="416">
        <f ca="1">L81/$K$14</f>
        <v>0</v>
      </c>
      <c r="L81" s="170">
        <f ca="1">L66</f>
        <v>0</v>
      </c>
      <c r="M81" s="128"/>
      <c r="N81" s="311"/>
      <c r="O81" s="129"/>
      <c r="P81" s="143" t="s">
        <v>34</v>
      </c>
      <c r="Q81" s="416"/>
      <c r="R81" s="416">
        <f ca="1">S81/$K$14</f>
        <v>0</v>
      </c>
      <c r="S81" s="170">
        <f ca="1">S66</f>
        <v>0</v>
      </c>
      <c r="T81" s="130"/>
      <c r="U81" s="311"/>
      <c r="V81" s="311"/>
      <c r="W81" s="311"/>
      <c r="X81" s="311"/>
      <c r="Y81" s="311"/>
      <c r="Z81" s="311"/>
      <c r="AA81" s="311"/>
      <c r="AB81" s="311"/>
      <c r="AC81" s="311"/>
      <c r="AD81" s="311"/>
      <c r="AE81" s="311"/>
      <c r="AF81" s="311"/>
      <c r="AG81" s="118"/>
    </row>
    <row r="82" spans="1:33">
      <c r="A82" s="135"/>
      <c r="B82" s="311"/>
      <c r="C82" s="311"/>
      <c r="D82" s="311"/>
      <c r="E82" s="311"/>
      <c r="F82" s="311"/>
      <c r="G82" s="311"/>
      <c r="H82" s="124"/>
      <c r="I82" s="153" t="s">
        <v>35</v>
      </c>
      <c r="J82" s="242"/>
      <c r="K82" s="242">
        <f ca="1">L82/$K$14</f>
        <v>157.3354282767786</v>
      </c>
      <c r="L82" s="222">
        <f ca="1">L78-SUM(L80,L81)</f>
        <v>18880251.448965609</v>
      </c>
      <c r="M82" s="128"/>
      <c r="N82" s="311"/>
      <c r="O82" s="129"/>
      <c r="P82" s="153" t="s">
        <v>35</v>
      </c>
      <c r="Q82" s="242"/>
      <c r="R82" s="242">
        <f ca="1">S82/$K$14</f>
        <v>158.32753634972283</v>
      </c>
      <c r="S82" s="222">
        <f ca="1">S78-SUM(S80,S81)</f>
        <v>18999424.592460021</v>
      </c>
      <c r="T82" s="130"/>
      <c r="U82" s="311"/>
      <c r="V82" s="311"/>
      <c r="W82" s="311"/>
      <c r="X82" s="311"/>
      <c r="Y82" s="311"/>
      <c r="Z82" s="311"/>
      <c r="AA82" s="311"/>
      <c r="AB82" s="311"/>
      <c r="AC82" s="311"/>
      <c r="AD82" s="311"/>
      <c r="AE82" s="311"/>
      <c r="AF82" s="311"/>
      <c r="AG82" s="118"/>
    </row>
    <row r="83" spans="1:33">
      <c r="A83" s="135"/>
      <c r="B83" s="311"/>
      <c r="C83" s="311"/>
      <c r="D83" s="311"/>
      <c r="E83" s="311"/>
      <c r="F83" s="311"/>
      <c r="G83" s="311"/>
      <c r="H83" s="124"/>
      <c r="I83" s="160" t="s">
        <v>172</v>
      </c>
      <c r="J83" s="453">
        <f ca="1">L83/$E$25</f>
        <v>11013479.983645622</v>
      </c>
      <c r="K83" s="197">
        <f ca="1">L83/K14</f>
        <v>393.33857084448647</v>
      </c>
      <c r="L83" s="243">
        <f ca="1">SUM(L80:L82)</f>
        <v>47200628.549768634</v>
      </c>
      <c r="M83" s="128"/>
      <c r="N83" s="311"/>
      <c r="O83" s="129"/>
      <c r="P83" s="160" t="s">
        <v>172</v>
      </c>
      <c r="Q83" s="453">
        <f ca="1">S83/$E$25</f>
        <v>11082957.411288645</v>
      </c>
      <c r="R83" s="197">
        <f ca="1">S83/R14</f>
        <v>395.81990754602305</v>
      </c>
      <c r="S83" s="243">
        <f ca="1">SUM(S80:S82)</f>
        <v>47498457.935773678</v>
      </c>
      <c r="T83" s="130"/>
      <c r="U83" s="311"/>
      <c r="V83" s="311"/>
      <c r="W83" s="311"/>
      <c r="X83" s="311"/>
      <c r="Y83" s="311"/>
      <c r="Z83" s="311"/>
      <c r="AA83" s="311"/>
      <c r="AB83" s="311"/>
      <c r="AC83" s="311"/>
      <c r="AD83" s="311"/>
      <c r="AE83" s="311"/>
      <c r="AF83" s="311"/>
      <c r="AG83" s="118"/>
    </row>
    <row r="84" spans="1:33">
      <c r="A84" s="135"/>
      <c r="B84" s="311"/>
      <c r="C84" s="311"/>
      <c r="D84" s="311"/>
      <c r="E84" s="311"/>
      <c r="F84" s="311"/>
      <c r="G84" s="311"/>
      <c r="H84" s="124"/>
      <c r="I84" s="244"/>
      <c r="J84" s="245"/>
      <c r="K84" s="246"/>
      <c r="L84" s="247"/>
      <c r="M84" s="128"/>
      <c r="N84" s="311"/>
      <c r="O84" s="129"/>
      <c r="P84" s="248"/>
      <c r="Q84" s="249"/>
      <c r="R84" s="250"/>
      <c r="S84" s="251"/>
      <c r="T84" s="130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1"/>
      <c r="AG84" s="118"/>
    </row>
    <row r="85" spans="1:33">
      <c r="A85" s="135"/>
      <c r="B85" s="311"/>
      <c r="C85" s="311"/>
      <c r="D85" s="311"/>
      <c r="E85" s="311"/>
      <c r="F85" s="311"/>
      <c r="G85" s="311"/>
      <c r="H85" s="124"/>
      <c r="I85" s="125" t="s">
        <v>12</v>
      </c>
      <c r="J85" s="224"/>
      <c r="K85" s="224"/>
      <c r="L85" s="225"/>
      <c r="M85" s="128"/>
      <c r="N85" s="311"/>
      <c r="O85" s="129"/>
      <c r="P85" s="125" t="s">
        <v>12</v>
      </c>
      <c r="Q85" s="224"/>
      <c r="R85" s="224"/>
      <c r="S85" s="225"/>
      <c r="T85" s="130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1"/>
      <c r="AG85" s="118"/>
    </row>
    <row r="86" spans="1:33">
      <c r="A86" s="135"/>
      <c r="B86" s="311"/>
      <c r="C86" s="311"/>
      <c r="D86" s="311"/>
      <c r="E86" s="311"/>
      <c r="F86" s="311"/>
      <c r="G86" s="311"/>
      <c r="H86" s="124"/>
      <c r="I86" s="137"/>
      <c r="J86" s="252"/>
      <c r="K86" s="252" t="s">
        <v>173</v>
      </c>
      <c r="L86" s="253" t="s">
        <v>174</v>
      </c>
      <c r="M86" s="128"/>
      <c r="N86" s="311"/>
      <c r="O86" s="129"/>
      <c r="P86" s="137"/>
      <c r="Q86" s="252"/>
      <c r="R86" s="252" t="s">
        <v>173</v>
      </c>
      <c r="S86" s="253" t="s">
        <v>174</v>
      </c>
      <c r="T86" s="130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118"/>
    </row>
    <row r="87" spans="1:33">
      <c r="A87" s="135"/>
      <c r="B87" s="311"/>
      <c r="C87" s="311"/>
      <c r="D87" s="311"/>
      <c r="E87" s="311"/>
      <c r="F87" s="311"/>
      <c r="G87" s="311"/>
      <c r="H87" s="124"/>
      <c r="I87" s="143" t="s">
        <v>175</v>
      </c>
      <c r="J87" s="311"/>
      <c r="K87" s="454">
        <v>45292</v>
      </c>
      <c r="L87" s="254">
        <v>0</v>
      </c>
      <c r="M87" s="128"/>
      <c r="N87" s="311"/>
      <c r="O87" s="129"/>
      <c r="P87" s="143" t="s">
        <v>175</v>
      </c>
      <c r="Q87" s="311"/>
      <c r="R87" s="454">
        <v>45292</v>
      </c>
      <c r="S87" s="254">
        <v>0</v>
      </c>
      <c r="T87" s="130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118"/>
    </row>
    <row r="88" spans="1:33">
      <c r="A88" s="135"/>
      <c r="B88" s="311"/>
      <c r="C88" s="311"/>
      <c r="D88" s="311"/>
      <c r="E88" s="311"/>
      <c r="F88" s="311"/>
      <c r="G88" s="311"/>
      <c r="H88" s="124"/>
      <c r="I88" s="143" t="s">
        <v>176</v>
      </c>
      <c r="J88" s="311"/>
      <c r="K88" s="455">
        <f>EOMONTH(K87, L88-1)</f>
        <v>45382</v>
      </c>
      <c r="L88" s="254">
        <v>3</v>
      </c>
      <c r="M88" s="128"/>
      <c r="N88" s="311"/>
      <c r="O88" s="129"/>
      <c r="P88" s="143" t="s">
        <v>176</v>
      </c>
      <c r="Q88" s="311"/>
      <c r="R88" s="455">
        <f>EOMONTH(R87, S88-1)</f>
        <v>45473</v>
      </c>
      <c r="S88" s="254">
        <v>6</v>
      </c>
      <c r="T88" s="130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118"/>
    </row>
    <row r="89" spans="1:33">
      <c r="A89" s="135"/>
      <c r="B89" s="311"/>
      <c r="C89" s="311"/>
      <c r="D89" s="311"/>
      <c r="E89" s="311"/>
      <c r="F89" s="311"/>
      <c r="G89" s="311"/>
      <c r="H89" s="124"/>
      <c r="I89" s="143" t="s">
        <v>177</v>
      </c>
      <c r="J89" s="311"/>
      <c r="K89" s="455">
        <f>K88+1</f>
        <v>45383</v>
      </c>
      <c r="L89" s="255">
        <f>L88+1</f>
        <v>4</v>
      </c>
      <c r="M89" s="128"/>
      <c r="N89" s="311"/>
      <c r="O89" s="129"/>
      <c r="P89" s="143" t="s">
        <v>177</v>
      </c>
      <c r="Q89" s="311"/>
      <c r="R89" s="455">
        <f>R88+1</f>
        <v>45474</v>
      </c>
      <c r="S89" s="255">
        <f>S88+1</f>
        <v>7</v>
      </c>
      <c r="T89" s="130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118"/>
    </row>
    <row r="90" spans="1:33">
      <c r="A90" s="135"/>
      <c r="B90" s="311"/>
      <c r="C90" s="311"/>
      <c r="D90" s="311"/>
      <c r="E90" s="311"/>
      <c r="F90" s="311"/>
      <c r="G90" s="311"/>
      <c r="H90" s="124"/>
      <c r="I90" s="143" t="s">
        <v>178</v>
      </c>
      <c r="J90" s="311"/>
      <c r="K90" s="455">
        <f>K89</f>
        <v>45383</v>
      </c>
      <c r="L90" s="255">
        <f>L89</f>
        <v>4</v>
      </c>
      <c r="M90" s="128"/>
      <c r="N90" s="311"/>
      <c r="O90" s="129"/>
      <c r="P90" s="143" t="s">
        <v>178</v>
      </c>
      <c r="Q90" s="311"/>
      <c r="R90" s="455">
        <f>R89</f>
        <v>45474</v>
      </c>
      <c r="S90" s="255">
        <f>S89</f>
        <v>7</v>
      </c>
      <c r="T90" s="130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118"/>
    </row>
    <row r="91" spans="1:33">
      <c r="A91" s="135"/>
      <c r="B91" s="311"/>
      <c r="C91" s="311"/>
      <c r="D91" s="311"/>
      <c r="E91" s="311"/>
      <c r="F91" s="311"/>
      <c r="G91" s="311"/>
      <c r="H91" s="124"/>
      <c r="I91" s="143" t="s">
        <v>179</v>
      </c>
      <c r="J91" s="311"/>
      <c r="K91" s="455">
        <f>EOMONTH(K87,L91-2)+1</f>
        <v>45413</v>
      </c>
      <c r="L91" s="256">
        <f>L89+1</f>
        <v>5</v>
      </c>
      <c r="M91" s="128"/>
      <c r="N91" s="311"/>
      <c r="O91" s="129"/>
      <c r="P91" s="143" t="s">
        <v>179</v>
      </c>
      <c r="Q91" s="311"/>
      <c r="R91" s="455">
        <f>EOMONTH(R87,S91-2)+1</f>
        <v>45474</v>
      </c>
      <c r="S91" s="256">
        <v>7</v>
      </c>
      <c r="T91" s="130"/>
      <c r="U91" s="311"/>
      <c r="V91" s="311"/>
      <c r="W91" s="311"/>
      <c r="X91" s="311"/>
      <c r="Y91" s="311"/>
      <c r="Z91" s="311"/>
      <c r="AA91" s="311"/>
      <c r="AB91" s="311"/>
      <c r="AC91" s="311"/>
      <c r="AD91" s="311"/>
      <c r="AE91" s="311"/>
      <c r="AF91" s="311"/>
      <c r="AG91" s="118"/>
    </row>
    <row r="92" spans="1:33">
      <c r="A92" s="135"/>
      <c r="B92" s="311"/>
      <c r="C92" s="311"/>
      <c r="D92" s="311"/>
      <c r="E92" s="311"/>
      <c r="F92" s="311"/>
      <c r="G92" s="311"/>
      <c r="H92" s="124"/>
      <c r="I92" s="143" t="s">
        <v>180</v>
      </c>
      <c r="J92" s="311"/>
      <c r="K92" s="455">
        <f>EOMONTH(K87, L92-1)</f>
        <v>45596</v>
      </c>
      <c r="L92" s="256">
        <f>L91+ROUNDUP((K16/8000)/4.3+2,0)</f>
        <v>10</v>
      </c>
      <c r="M92" s="128"/>
      <c r="N92" s="311"/>
      <c r="O92" s="129"/>
      <c r="P92" s="143" t="s">
        <v>180</v>
      </c>
      <c r="Q92" s="311"/>
      <c r="R92" s="455">
        <f>EOMONTH(R87, S92-2)+1</f>
        <v>45474</v>
      </c>
      <c r="S92" s="254">
        <v>7</v>
      </c>
      <c r="T92" s="130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118"/>
    </row>
    <row r="93" spans="1:33">
      <c r="A93" s="135"/>
      <c r="B93" s="311"/>
      <c r="C93" s="311"/>
      <c r="D93" s="311"/>
      <c r="E93" s="311"/>
      <c r="F93" s="311"/>
      <c r="G93" s="311"/>
      <c r="H93" s="124"/>
      <c r="I93" s="143" t="s">
        <v>181</v>
      </c>
      <c r="J93" s="311"/>
      <c r="K93" s="455">
        <f>EOMONTH(K87, L93-1)</f>
        <v>45747</v>
      </c>
      <c r="L93" s="256">
        <f>L90+K13-1</f>
        <v>15</v>
      </c>
      <c r="M93" s="128"/>
      <c r="N93" s="311"/>
      <c r="O93" s="129"/>
      <c r="P93" s="143" t="s">
        <v>181</v>
      </c>
      <c r="Q93" s="311"/>
      <c r="R93" s="455">
        <f>EOMONTH(R87, S93-1)</f>
        <v>46081</v>
      </c>
      <c r="S93" s="256">
        <f>S90+R13-1</f>
        <v>26</v>
      </c>
      <c r="T93" s="130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118"/>
    </row>
    <row r="94" spans="1:33">
      <c r="A94" s="135"/>
      <c r="B94" s="311"/>
      <c r="C94" s="311"/>
      <c r="D94" s="311"/>
      <c r="E94" s="311"/>
      <c r="F94" s="311"/>
      <c r="G94" s="311"/>
      <c r="H94" s="124"/>
      <c r="I94" s="143" t="s">
        <v>182</v>
      </c>
      <c r="J94" s="311"/>
      <c r="K94" s="455">
        <f>K93+1</f>
        <v>45748</v>
      </c>
      <c r="L94" s="255">
        <f>L93+1</f>
        <v>16</v>
      </c>
      <c r="M94" s="257"/>
      <c r="N94" s="311"/>
      <c r="O94" s="129"/>
      <c r="P94" s="143" t="s">
        <v>182</v>
      </c>
      <c r="Q94" s="311"/>
      <c r="R94" s="455">
        <f>R93+1</f>
        <v>46082</v>
      </c>
      <c r="S94" s="255">
        <f>S93+1</f>
        <v>27</v>
      </c>
      <c r="T94" s="130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118"/>
    </row>
    <row r="95" spans="1:33">
      <c r="A95" s="135"/>
      <c r="B95" s="311"/>
      <c r="C95" s="311"/>
      <c r="D95" s="311"/>
      <c r="E95" s="311"/>
      <c r="F95" s="311"/>
      <c r="G95" s="311"/>
      <c r="H95" s="124"/>
      <c r="I95" s="143" t="s">
        <v>183</v>
      </c>
      <c r="J95" s="312"/>
      <c r="K95" s="455">
        <f>EOMONTH(K94, L95-L94)</f>
        <v>46112</v>
      </c>
      <c r="L95" s="255">
        <f>L94+F15-1</f>
        <v>27</v>
      </c>
      <c r="M95" s="128"/>
      <c r="N95" s="311"/>
      <c r="O95" s="129"/>
      <c r="P95" s="143" t="s">
        <v>183</v>
      </c>
      <c r="Q95" s="312"/>
      <c r="R95" s="455">
        <f>EOMONTH(R94, S95-S94)</f>
        <v>46446</v>
      </c>
      <c r="S95" s="255">
        <f>S94+F15-1</f>
        <v>38</v>
      </c>
      <c r="T95" s="130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118"/>
    </row>
    <row r="96" spans="1:33">
      <c r="A96" s="135"/>
      <c r="B96" s="311"/>
      <c r="C96" s="311"/>
      <c r="D96" s="311"/>
      <c r="E96" s="311"/>
      <c r="F96" s="311"/>
      <c r="G96" s="311"/>
      <c r="H96" s="124"/>
      <c r="I96" s="153" t="s">
        <v>74</v>
      </c>
      <c r="J96" s="149"/>
      <c r="K96" s="258">
        <f>EOMONTH(K87, L96)</f>
        <v>46142</v>
      </c>
      <c r="L96" s="259">
        <f>L95</f>
        <v>27</v>
      </c>
      <c r="M96" s="128"/>
      <c r="N96" s="311"/>
      <c r="O96" s="129"/>
      <c r="P96" s="153" t="s">
        <v>74</v>
      </c>
      <c r="Q96" s="149"/>
      <c r="R96" s="258">
        <f>EOMONTH(R87, S96)</f>
        <v>46477</v>
      </c>
      <c r="S96" s="259">
        <f>S95</f>
        <v>38</v>
      </c>
      <c r="T96" s="130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118"/>
    </row>
    <row r="97" spans="1:33">
      <c r="A97" s="135"/>
      <c r="B97" s="311"/>
      <c r="C97" s="311"/>
      <c r="D97" s="311"/>
      <c r="E97" s="311"/>
      <c r="F97" s="311"/>
      <c r="G97" s="311"/>
      <c r="H97" s="124"/>
      <c r="I97" s="429"/>
      <c r="J97" s="429"/>
      <c r="K97" s="429"/>
      <c r="L97" s="429"/>
      <c r="M97" s="128"/>
      <c r="N97" s="311"/>
      <c r="O97" s="129"/>
      <c r="P97" s="430"/>
      <c r="Q97" s="430"/>
      <c r="R97" s="430"/>
      <c r="S97" s="430"/>
      <c r="T97" s="130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118"/>
    </row>
    <row r="98" spans="1:33">
      <c r="A98" s="135"/>
      <c r="B98" s="311"/>
      <c r="C98" s="311"/>
      <c r="D98" s="311"/>
      <c r="E98" s="311"/>
      <c r="F98" s="311"/>
      <c r="G98" s="311"/>
      <c r="H98" s="124"/>
      <c r="I98" s="456" t="s">
        <v>184</v>
      </c>
      <c r="J98" s="456"/>
      <c r="K98" s="429"/>
      <c r="L98" s="429"/>
      <c r="M98" s="128"/>
      <c r="N98" s="311"/>
      <c r="O98" s="129"/>
      <c r="P98" s="457" t="s">
        <v>184</v>
      </c>
      <c r="Q98" s="457"/>
      <c r="R98" s="430"/>
      <c r="S98" s="430"/>
      <c r="T98" s="130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118"/>
    </row>
    <row r="99" spans="1:33">
      <c r="A99" s="135"/>
      <c r="B99" s="311"/>
      <c r="C99" s="311"/>
      <c r="D99" s="311"/>
      <c r="E99" s="311"/>
      <c r="F99" s="311"/>
      <c r="G99" s="311"/>
      <c r="H99" s="124"/>
      <c r="I99" s="260" t="s">
        <v>185</v>
      </c>
      <c r="J99" s="261">
        <f ca="1">'Cash Flow - Modular'!B92</f>
        <v>0.11882854104042051</v>
      </c>
      <c r="K99" s="429"/>
      <c r="L99" s="429"/>
      <c r="M99" s="128"/>
      <c r="N99" s="311"/>
      <c r="O99" s="129"/>
      <c r="P99" s="260" t="s">
        <v>185</v>
      </c>
      <c r="Q99" s="261">
        <f ca="1">'Cash Flow - Traditional'!B92</f>
        <v>0.11093985438346862</v>
      </c>
      <c r="R99" s="430"/>
      <c r="S99" s="430"/>
      <c r="T99" s="130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118"/>
    </row>
    <row r="100" spans="1:33">
      <c r="A100" s="135"/>
      <c r="B100" s="311"/>
      <c r="C100" s="311"/>
      <c r="D100" s="311"/>
      <c r="E100" s="311"/>
      <c r="F100" s="311"/>
      <c r="G100" s="311"/>
      <c r="H100" s="124"/>
      <c r="I100" s="262" t="s">
        <v>186</v>
      </c>
      <c r="J100" s="263">
        <f ca="1">'Cash Flow - Modular'!B93</f>
        <v>1.2012546926248271</v>
      </c>
      <c r="K100" s="429"/>
      <c r="L100" s="429"/>
      <c r="M100" s="128"/>
      <c r="N100" s="311"/>
      <c r="O100" s="129"/>
      <c r="P100" s="262" t="s">
        <v>186</v>
      </c>
      <c r="Q100" s="263">
        <f ca="1">'Cash Flow - Traditional'!B93</f>
        <v>1.2317262242202527</v>
      </c>
      <c r="R100" s="430"/>
      <c r="S100" s="430"/>
      <c r="T100" s="130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118"/>
    </row>
    <row r="101" spans="1:33">
      <c r="A101" s="135"/>
      <c r="B101" s="311"/>
      <c r="C101" s="311"/>
      <c r="D101" s="311"/>
      <c r="E101" s="311"/>
      <c r="F101" s="311"/>
      <c r="G101" s="311"/>
      <c r="H101" s="124"/>
      <c r="I101" s="264" t="s">
        <v>187</v>
      </c>
      <c r="J101" s="265">
        <f ca="1">'Cash Flow - Modular'!B94</f>
        <v>9046398.4334859699</v>
      </c>
      <c r="K101" s="429"/>
      <c r="L101" s="429"/>
      <c r="M101" s="128"/>
      <c r="N101" s="311"/>
      <c r="O101" s="129"/>
      <c r="P101" s="264" t="s">
        <v>187</v>
      </c>
      <c r="Q101" s="265">
        <f ca="1">'Cash Flow - Traditional'!B94</f>
        <v>10432314.614395775</v>
      </c>
      <c r="R101" s="430"/>
      <c r="S101" s="430"/>
      <c r="T101" s="130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  <c r="AF101" s="311"/>
      <c r="AG101" s="118"/>
    </row>
    <row r="102" spans="1:33">
      <c r="A102" s="135"/>
      <c r="B102" s="311"/>
      <c r="C102" s="311"/>
      <c r="D102" s="311"/>
      <c r="E102" s="311"/>
      <c r="F102" s="311"/>
      <c r="G102" s="311"/>
      <c r="H102" s="124"/>
      <c r="I102" s="429"/>
      <c r="J102" s="429"/>
      <c r="K102" s="429"/>
      <c r="L102" s="429"/>
      <c r="M102" s="128"/>
      <c r="N102" s="311"/>
      <c r="O102" s="129"/>
      <c r="P102" s="430"/>
      <c r="Q102" s="430"/>
      <c r="R102" s="430"/>
      <c r="S102" s="430"/>
      <c r="T102" s="130"/>
      <c r="U102" s="311"/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118"/>
    </row>
    <row r="103" spans="1:33">
      <c r="A103" s="135"/>
      <c r="B103" s="311"/>
      <c r="C103" s="311"/>
      <c r="D103" s="311"/>
      <c r="E103" s="311"/>
      <c r="F103" s="311"/>
      <c r="G103" s="311"/>
      <c r="H103" s="124"/>
      <c r="I103" s="456" t="s">
        <v>188</v>
      </c>
      <c r="J103" s="456"/>
      <c r="K103" s="429"/>
      <c r="L103" s="429"/>
      <c r="M103" s="128"/>
      <c r="N103" s="311"/>
      <c r="O103" s="129"/>
      <c r="P103" s="457" t="s">
        <v>188</v>
      </c>
      <c r="Q103" s="457"/>
      <c r="R103" s="430"/>
      <c r="S103" s="430"/>
      <c r="T103" s="130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118"/>
    </row>
    <row r="104" spans="1:33">
      <c r="A104" s="135"/>
      <c r="B104" s="311"/>
      <c r="C104" s="311"/>
      <c r="D104" s="311"/>
      <c r="E104" s="311"/>
      <c r="F104" s="311"/>
      <c r="G104" s="311"/>
      <c r="H104" s="124"/>
      <c r="I104" s="260" t="s">
        <v>189</v>
      </c>
      <c r="J104" s="261">
        <f ca="1">'Cash Flow - Modular'!B105</f>
        <v>0.17193004488945007</v>
      </c>
      <c r="K104" s="429"/>
      <c r="L104" s="429"/>
      <c r="M104" s="128"/>
      <c r="N104" s="311"/>
      <c r="O104" s="129"/>
      <c r="P104" s="260" t="s">
        <v>189</v>
      </c>
      <c r="Q104" s="261">
        <f ca="1">'Cash Flow - Traditional'!B105</f>
        <v>0.14394027590751651</v>
      </c>
      <c r="R104" s="430"/>
      <c r="S104" s="430"/>
      <c r="T104" s="130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118"/>
    </row>
    <row r="105" spans="1:33">
      <c r="A105" s="135"/>
      <c r="B105" s="311"/>
      <c r="C105" s="311"/>
      <c r="D105" s="311"/>
      <c r="E105" s="311"/>
      <c r="F105" s="311"/>
      <c r="G105" s="311"/>
      <c r="H105" s="124"/>
      <c r="I105" s="262" t="s">
        <v>186</v>
      </c>
      <c r="J105" s="263">
        <f ca="1">'Cash Flow - Modular'!B106</f>
        <v>1.3599406168167849</v>
      </c>
      <c r="K105" s="429"/>
      <c r="L105" s="429"/>
      <c r="M105" s="128"/>
      <c r="N105" s="311"/>
      <c r="O105" s="129"/>
      <c r="P105" s="262" t="s">
        <v>186</v>
      </c>
      <c r="Q105" s="263">
        <f ca="1">'Cash Flow - Traditional'!B106</f>
        <v>1.4186395976718928</v>
      </c>
      <c r="R105" s="430"/>
      <c r="S105" s="430"/>
      <c r="T105" s="130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118"/>
    </row>
    <row r="106" spans="1:33">
      <c r="A106" s="135"/>
      <c r="B106" s="311"/>
      <c r="C106" s="311"/>
      <c r="D106" s="311"/>
      <c r="E106" s="311"/>
      <c r="F106" s="311"/>
      <c r="G106" s="311"/>
      <c r="H106" s="124"/>
      <c r="I106" s="264" t="s">
        <v>187</v>
      </c>
      <c r="J106" s="266">
        <f ca="1">'Cash Flow - Modular'!B107</f>
        <v>6795769.3807486333</v>
      </c>
      <c r="K106" s="429"/>
      <c r="L106" s="429"/>
      <c r="M106" s="128"/>
      <c r="N106" s="311"/>
      <c r="O106" s="129"/>
      <c r="P106" s="264" t="s">
        <v>187</v>
      </c>
      <c r="Q106" s="265">
        <f ca="1">'Cash Flow - Traditional'!B107</f>
        <v>7953883.7283817306</v>
      </c>
      <c r="R106" s="430"/>
      <c r="S106" s="430"/>
      <c r="T106" s="130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118"/>
    </row>
    <row r="107" spans="1:33">
      <c r="A107" s="135"/>
      <c r="B107" s="311"/>
      <c r="C107" s="311"/>
      <c r="D107" s="311"/>
      <c r="E107" s="311"/>
      <c r="F107" s="311"/>
      <c r="G107" s="311"/>
      <c r="H107" s="124"/>
      <c r="I107" s="429"/>
      <c r="J107" s="429"/>
      <c r="K107" s="429"/>
      <c r="L107" s="429"/>
      <c r="M107" s="128"/>
      <c r="N107" s="311"/>
      <c r="O107" s="129"/>
      <c r="P107" s="430"/>
      <c r="Q107" s="430"/>
      <c r="R107" s="430"/>
      <c r="S107" s="430"/>
      <c r="T107" s="130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118"/>
    </row>
    <row r="108" spans="1:33">
      <c r="A108" s="135"/>
      <c r="B108" s="311"/>
      <c r="C108" s="311"/>
      <c r="D108" s="311"/>
      <c r="E108" s="311"/>
      <c r="F108" s="311"/>
      <c r="G108" s="311"/>
      <c r="H108" s="124"/>
      <c r="I108" s="458" t="s">
        <v>190</v>
      </c>
      <c r="J108" s="459" t="s">
        <v>191</v>
      </c>
      <c r="K108" s="459" t="s">
        <v>192</v>
      </c>
      <c r="L108" s="429"/>
      <c r="M108" s="128"/>
      <c r="N108" s="311"/>
      <c r="O108" s="129"/>
      <c r="P108" s="458" t="s">
        <v>190</v>
      </c>
      <c r="Q108" s="459" t="s">
        <v>191</v>
      </c>
      <c r="R108" s="459" t="s">
        <v>192</v>
      </c>
      <c r="S108" s="430"/>
      <c r="T108" s="130"/>
      <c r="U108" s="311"/>
      <c r="V108" s="311"/>
      <c r="W108" s="311"/>
      <c r="X108" s="311"/>
      <c r="Y108" s="311"/>
      <c r="Z108" s="311"/>
      <c r="AA108" s="311"/>
      <c r="AB108" s="311"/>
      <c r="AC108" s="311"/>
      <c r="AD108" s="311"/>
      <c r="AE108" s="311"/>
      <c r="AF108" s="311"/>
      <c r="AG108" s="118"/>
    </row>
    <row r="109" spans="1:33">
      <c r="A109" s="135"/>
      <c r="B109" s="311"/>
      <c r="C109" s="311"/>
      <c r="D109" s="311"/>
      <c r="E109" s="311"/>
      <c r="F109" s="311"/>
      <c r="G109" s="311"/>
      <c r="H109" s="124"/>
      <c r="I109" s="267" t="s">
        <v>193</v>
      </c>
      <c r="J109" s="268">
        <f>INDEX(W20:AF20,MATCH(ROUNDUP(L95/12,0),W6:AF6,0))</f>
        <v>2639305.9148571421</v>
      </c>
      <c r="K109" s="269">
        <f>INDEX(W20:AF20,MATCH(ROUNDUP(L96/12,0),W6:AF6,0))</f>
        <v>2639305.9148571421</v>
      </c>
      <c r="L109" s="429"/>
      <c r="M109" s="128"/>
      <c r="N109" s="311"/>
      <c r="O109" s="129"/>
      <c r="P109" s="267" t="s">
        <v>193</v>
      </c>
      <c r="Q109" s="268">
        <f>INDEX(W20:AF20,MATCH(ROUNDUP(S95/12,0),W6:AF6,0))</f>
        <v>2710748.6116542844</v>
      </c>
      <c r="R109" s="269">
        <f>INDEX(W20:AF20,MATCH(ROUNDUP(S96/12,0),W6:AF6,0))</f>
        <v>2710748.6116542844</v>
      </c>
      <c r="S109" s="430"/>
      <c r="T109" s="130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  <c r="AF109" s="311"/>
      <c r="AG109" s="118"/>
    </row>
    <row r="110" spans="1:33">
      <c r="A110" s="135"/>
      <c r="B110" s="311"/>
      <c r="C110" s="311"/>
      <c r="D110" s="311"/>
      <c r="E110" s="311"/>
      <c r="F110" s="311"/>
      <c r="G110" s="311"/>
      <c r="H110" s="124"/>
      <c r="I110" s="267" t="s">
        <v>194</v>
      </c>
      <c r="J110" s="269">
        <f ca="1">L78</f>
        <v>47200628.549768634</v>
      </c>
      <c r="K110" s="269">
        <f ca="1">L78</f>
        <v>47200628.549768634</v>
      </c>
      <c r="L110" s="429"/>
      <c r="M110" s="128"/>
      <c r="N110" s="311"/>
      <c r="O110" s="129"/>
      <c r="P110" s="267" t="s">
        <v>194</v>
      </c>
      <c r="Q110" s="269">
        <f ca="1">S78</f>
        <v>47498457.935773678</v>
      </c>
      <c r="R110" s="269">
        <f ca="1">S78</f>
        <v>47498457.935773678</v>
      </c>
      <c r="S110" s="430"/>
      <c r="T110" s="130"/>
      <c r="U110" s="311"/>
      <c r="V110" s="311"/>
      <c r="W110" s="311"/>
      <c r="X110" s="311"/>
      <c r="Y110" s="311"/>
      <c r="Z110" s="311"/>
      <c r="AA110" s="311"/>
      <c r="AB110" s="311"/>
      <c r="AC110" s="311"/>
      <c r="AD110" s="311"/>
      <c r="AE110" s="311"/>
      <c r="AF110" s="311"/>
      <c r="AG110" s="118"/>
    </row>
    <row r="111" spans="1:33">
      <c r="A111" s="135"/>
      <c r="B111" s="311"/>
      <c r="C111" s="311"/>
      <c r="D111" s="311"/>
      <c r="E111" s="311"/>
      <c r="F111" s="311"/>
      <c r="G111" s="311"/>
      <c r="H111" s="124"/>
      <c r="I111" s="270" t="s">
        <v>38</v>
      </c>
      <c r="J111" s="271">
        <f ca="1">J109/J110</f>
        <v>5.591675356768272E-2</v>
      </c>
      <c r="K111" s="271">
        <f ca="1">K109/K110</f>
        <v>5.591675356768272E-2</v>
      </c>
      <c r="L111" s="429"/>
      <c r="M111" s="128"/>
      <c r="N111" s="311"/>
      <c r="O111" s="129"/>
      <c r="P111" s="270" t="s">
        <v>38</v>
      </c>
      <c r="Q111" s="271">
        <f ca="1">Q109/Q110</f>
        <v>5.7070244581828244E-2</v>
      </c>
      <c r="R111" s="271">
        <f ca="1">R109/R110</f>
        <v>5.7070244581828244E-2</v>
      </c>
      <c r="S111" s="430"/>
      <c r="T111" s="130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118"/>
    </row>
    <row r="112" spans="1:33">
      <c r="A112" s="135"/>
      <c r="B112" s="311"/>
      <c r="C112" s="311"/>
      <c r="D112" s="311"/>
      <c r="E112" s="311"/>
      <c r="F112" s="311"/>
      <c r="G112" s="311"/>
      <c r="H112" s="124"/>
      <c r="I112" s="267" t="s">
        <v>192</v>
      </c>
      <c r="J112" s="269"/>
      <c r="K112" s="269">
        <f>'Cash Flow - Modular'!B78</f>
        <v>54214972.233085684</v>
      </c>
      <c r="L112" s="429"/>
      <c r="M112" s="128"/>
      <c r="N112" s="311"/>
      <c r="O112" s="129"/>
      <c r="P112" s="267" t="s">
        <v>192</v>
      </c>
      <c r="Q112" s="269"/>
      <c r="R112" s="269">
        <f>'Cash Flow - Traditional'!B78</f>
        <v>55681731.536997408</v>
      </c>
      <c r="S112" s="430"/>
      <c r="T112" s="130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118"/>
    </row>
    <row r="113" spans="1:33" ht="15" thickBot="1">
      <c r="A113" s="135"/>
      <c r="B113" s="311"/>
      <c r="C113" s="311"/>
      <c r="D113" s="311"/>
      <c r="E113" s="311"/>
      <c r="F113" s="311"/>
      <c r="G113" s="311"/>
      <c r="H113" s="272"/>
      <c r="I113" s="273"/>
      <c r="J113" s="273"/>
      <c r="K113" s="273"/>
      <c r="L113" s="273"/>
      <c r="M113" s="274"/>
      <c r="N113" s="311"/>
      <c r="O113" s="275"/>
      <c r="P113" s="276"/>
      <c r="Q113" s="276"/>
      <c r="R113" s="276"/>
      <c r="S113" s="276"/>
      <c r="T113" s="277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118"/>
    </row>
    <row r="114" spans="1:33" ht="15">
      <c r="A114" s="135"/>
      <c r="B114" s="311"/>
      <c r="C114" s="311"/>
      <c r="D114" s="311"/>
      <c r="E114" s="311"/>
      <c r="F114" s="311"/>
      <c r="G114" s="311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118"/>
    </row>
    <row r="115" spans="1:33" ht="15">
      <c r="A115" s="135"/>
      <c r="B115" s="311"/>
      <c r="C115" s="311"/>
      <c r="D115" s="311"/>
      <c r="E115" s="311"/>
      <c r="F115" s="311"/>
      <c r="G115" s="311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118"/>
    </row>
    <row r="116" spans="1:33" ht="16" thickBot="1">
      <c r="A116" s="299"/>
      <c r="B116" s="300"/>
      <c r="C116" s="300"/>
      <c r="D116" s="300"/>
      <c r="E116" s="300"/>
      <c r="F116" s="300"/>
      <c r="G116" s="278"/>
      <c r="H116" s="323"/>
      <c r="I116" s="323"/>
      <c r="J116" s="323"/>
      <c r="K116" s="323"/>
      <c r="L116" s="323"/>
      <c r="M116" s="323"/>
      <c r="N116" s="323"/>
      <c r="O116" s="323"/>
      <c r="P116" s="323"/>
      <c r="Q116" s="323"/>
      <c r="R116" s="323"/>
      <c r="S116" s="323"/>
      <c r="T116" s="323"/>
      <c r="U116" s="278"/>
      <c r="V116" s="278"/>
      <c r="W116" s="278"/>
      <c r="X116" s="278"/>
      <c r="Y116" s="278"/>
      <c r="Z116" s="278"/>
      <c r="AA116" s="278"/>
      <c r="AB116" s="278"/>
      <c r="AC116" s="278"/>
      <c r="AD116" s="278"/>
      <c r="AE116" s="278"/>
      <c r="AF116" s="278"/>
      <c r="AG116" s="279"/>
    </row>
    <row r="117" spans="1:33" ht="15">
      <c r="H117"/>
      <c r="I117"/>
      <c r="J117"/>
      <c r="K117"/>
      <c r="L117"/>
      <c r="M117"/>
      <c r="N117"/>
      <c r="O117"/>
      <c r="P117"/>
      <c r="Q117"/>
      <c r="R117"/>
      <c r="S117"/>
      <c r="T117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  <c r="AF117" s="311"/>
    </row>
  </sheetData>
  <mergeCells count="5">
    <mergeCell ref="I6:L6"/>
    <mergeCell ref="P6:S6"/>
    <mergeCell ref="I57:L57"/>
    <mergeCell ref="J19:J24"/>
    <mergeCell ref="Q19:Q24"/>
  </mergeCells>
  <phoneticPr fontId="12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D4463-EA07-40F3-A78B-182FBAEA5586}">
  <dimension ref="A1:H8"/>
  <sheetViews>
    <sheetView zoomScale="80" zoomScaleNormal="80" workbookViewId="0">
      <selection activeCell="B3" sqref="B3"/>
    </sheetView>
  </sheetViews>
  <sheetFormatPr baseColWidth="10" defaultColWidth="8.83203125" defaultRowHeight="15"/>
  <cols>
    <col min="1" max="1" width="11.5" customWidth="1"/>
    <col min="2" max="2" width="10.5" customWidth="1"/>
    <col min="3" max="3" width="33.5" bestFit="1" customWidth="1"/>
    <col min="4" max="5" width="20.5" customWidth="1"/>
    <col min="6" max="6" width="21" customWidth="1"/>
    <col min="7" max="7" width="18.83203125" customWidth="1"/>
    <col min="8" max="8" width="17.1640625" bestFit="1" customWidth="1"/>
  </cols>
  <sheetData>
    <row r="1" spans="1:8">
      <c r="A1" s="96"/>
      <c r="E1" s="96"/>
    </row>
    <row r="6" spans="1:8">
      <c r="B6" s="5"/>
      <c r="C6" s="5"/>
      <c r="D6" s="5"/>
      <c r="E6" s="5"/>
      <c r="F6" s="5"/>
      <c r="G6" s="5"/>
      <c r="H6" s="5"/>
    </row>
    <row r="7" spans="1:8">
      <c r="A7" s="5"/>
      <c r="B7" s="6"/>
      <c r="H7" s="7"/>
    </row>
    <row r="8" spans="1:8">
      <c r="A8" s="5"/>
      <c r="F8" s="9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782EF-1462-4D9D-AC72-2E07FDE0EEF8}">
  <dimension ref="A1"/>
  <sheetViews>
    <sheetView showGridLines="0" zoomScale="80" zoomScaleNormal="80" workbookViewId="0"/>
  </sheetViews>
  <sheetFormatPr baseColWidth="10" defaultColWidth="8.83203125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E3EED-E246-4148-A5B1-BCE265010B4C}">
  <sheetPr>
    <tabColor theme="3" tint="0.79998168889431442"/>
  </sheetPr>
  <dimension ref="A5:BK107"/>
  <sheetViews>
    <sheetView showGridLines="0" zoomScale="80" zoomScaleNormal="80" workbookViewId="0">
      <selection activeCell="C2" sqref="C2"/>
    </sheetView>
  </sheetViews>
  <sheetFormatPr baseColWidth="10" defaultColWidth="8.83203125" defaultRowHeight="15"/>
  <cols>
    <col min="1" max="1" width="42" bestFit="1" customWidth="1"/>
    <col min="2" max="2" width="14.5" bestFit="1" customWidth="1"/>
    <col min="3" max="3" width="13" bestFit="1" customWidth="1"/>
    <col min="4" max="10" width="12.5" bestFit="1" customWidth="1"/>
    <col min="11" max="11" width="13" bestFit="1" customWidth="1"/>
    <col min="12" max="63" width="12.5" bestFit="1" customWidth="1"/>
  </cols>
  <sheetData>
    <row r="5" spans="1:63" s="50" customFormat="1" ht="19">
      <c r="A5" s="327" t="s">
        <v>195</v>
      </c>
    </row>
    <row r="6" spans="1:63">
      <c r="A6" s="330"/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330"/>
      <c r="AG6" s="330"/>
      <c r="AH6" s="330"/>
      <c r="AI6" s="330"/>
      <c r="AJ6" s="330"/>
      <c r="AK6" s="330"/>
      <c r="AL6" s="330"/>
      <c r="AM6" s="330"/>
      <c r="AN6" s="330"/>
      <c r="AO6" s="330"/>
      <c r="AP6" s="330"/>
      <c r="AQ6" s="330"/>
      <c r="AR6" s="330"/>
      <c r="AS6" s="330"/>
      <c r="AT6" s="330"/>
      <c r="AU6" s="330"/>
      <c r="AV6" s="330"/>
      <c r="AW6" s="330"/>
      <c r="AX6" s="330"/>
      <c r="AY6" s="330"/>
      <c r="AZ6" s="330"/>
      <c r="BA6" s="330"/>
      <c r="BB6" s="330"/>
      <c r="BC6" s="330"/>
      <c r="BD6" s="330"/>
      <c r="BE6" s="330"/>
      <c r="BF6" s="330"/>
      <c r="BG6" s="330"/>
      <c r="BH6" s="330"/>
      <c r="BI6" s="330"/>
      <c r="BJ6" s="330"/>
      <c r="BK6" s="330"/>
    </row>
    <row r="7" spans="1:63">
      <c r="A7" t="s">
        <v>196</v>
      </c>
      <c r="C7" s="4">
        <f>Inputs!K87</f>
        <v>45292</v>
      </c>
      <c r="D7" s="4">
        <f>EOMONTH(C7, 0)+1</f>
        <v>45323</v>
      </c>
      <c r="E7" s="4">
        <f t="shared" ref="E7:BK7" si="0">EOMONTH(D7, 0)+1</f>
        <v>45352</v>
      </c>
      <c r="F7" s="4">
        <f t="shared" si="0"/>
        <v>45383</v>
      </c>
      <c r="G7" s="4">
        <f t="shared" si="0"/>
        <v>45413</v>
      </c>
      <c r="H7" s="4">
        <f t="shared" si="0"/>
        <v>45444</v>
      </c>
      <c r="I7" s="4">
        <f t="shared" si="0"/>
        <v>45474</v>
      </c>
      <c r="J7" s="4">
        <f t="shared" si="0"/>
        <v>45505</v>
      </c>
      <c r="K7" s="4">
        <f t="shared" si="0"/>
        <v>45536</v>
      </c>
      <c r="L7" s="4">
        <f t="shared" si="0"/>
        <v>45566</v>
      </c>
      <c r="M7" s="4">
        <f t="shared" si="0"/>
        <v>45597</v>
      </c>
      <c r="N7" s="4">
        <f t="shared" si="0"/>
        <v>45627</v>
      </c>
      <c r="O7" s="4">
        <f t="shared" si="0"/>
        <v>45658</v>
      </c>
      <c r="P7" s="4">
        <f t="shared" si="0"/>
        <v>45689</v>
      </c>
      <c r="Q7" s="4">
        <f t="shared" si="0"/>
        <v>45717</v>
      </c>
      <c r="R7" s="4">
        <f t="shared" si="0"/>
        <v>45748</v>
      </c>
      <c r="S7" s="4">
        <f t="shared" si="0"/>
        <v>45778</v>
      </c>
      <c r="T7" s="4">
        <f t="shared" si="0"/>
        <v>45809</v>
      </c>
      <c r="U7" s="4">
        <f t="shared" si="0"/>
        <v>45839</v>
      </c>
      <c r="V7" s="4">
        <f t="shared" si="0"/>
        <v>45870</v>
      </c>
      <c r="W7" s="4">
        <f t="shared" si="0"/>
        <v>45901</v>
      </c>
      <c r="X7" s="4">
        <f t="shared" si="0"/>
        <v>45931</v>
      </c>
      <c r="Y7" s="4">
        <f t="shared" si="0"/>
        <v>45962</v>
      </c>
      <c r="Z7" s="4">
        <f t="shared" si="0"/>
        <v>45992</v>
      </c>
      <c r="AA7" s="4">
        <f t="shared" si="0"/>
        <v>46023</v>
      </c>
      <c r="AB7" s="4">
        <f t="shared" si="0"/>
        <v>46054</v>
      </c>
      <c r="AC7" s="4">
        <f t="shared" si="0"/>
        <v>46082</v>
      </c>
      <c r="AD7" s="4">
        <f t="shared" si="0"/>
        <v>46113</v>
      </c>
      <c r="AE7" s="4">
        <f t="shared" si="0"/>
        <v>46143</v>
      </c>
      <c r="AF7" s="4">
        <f t="shared" si="0"/>
        <v>46174</v>
      </c>
      <c r="AG7" s="4">
        <f t="shared" si="0"/>
        <v>46204</v>
      </c>
      <c r="AH7" s="4">
        <f t="shared" si="0"/>
        <v>46235</v>
      </c>
      <c r="AI7" s="4">
        <f t="shared" si="0"/>
        <v>46266</v>
      </c>
      <c r="AJ7" s="4">
        <f t="shared" si="0"/>
        <v>46296</v>
      </c>
      <c r="AK7" s="4">
        <f t="shared" si="0"/>
        <v>46327</v>
      </c>
      <c r="AL7" s="4">
        <f t="shared" si="0"/>
        <v>46357</v>
      </c>
      <c r="AM7" s="4">
        <f t="shared" si="0"/>
        <v>46388</v>
      </c>
      <c r="AN7" s="4">
        <f t="shared" si="0"/>
        <v>46419</v>
      </c>
      <c r="AO7" s="4">
        <f t="shared" si="0"/>
        <v>46447</v>
      </c>
      <c r="AP7" s="4">
        <f t="shared" si="0"/>
        <v>46478</v>
      </c>
      <c r="AQ7" s="4">
        <f t="shared" si="0"/>
        <v>46508</v>
      </c>
      <c r="AR7" s="4">
        <f t="shared" si="0"/>
        <v>46539</v>
      </c>
      <c r="AS7" s="4">
        <f t="shared" si="0"/>
        <v>46569</v>
      </c>
      <c r="AT7" s="4">
        <f t="shared" si="0"/>
        <v>46600</v>
      </c>
      <c r="AU7" s="4">
        <f t="shared" si="0"/>
        <v>46631</v>
      </c>
      <c r="AV7" s="4">
        <f t="shared" si="0"/>
        <v>46661</v>
      </c>
      <c r="AW7" s="4">
        <f t="shared" si="0"/>
        <v>46692</v>
      </c>
      <c r="AX7" s="4">
        <f t="shared" si="0"/>
        <v>46722</v>
      </c>
      <c r="AY7" s="4">
        <f t="shared" si="0"/>
        <v>46753</v>
      </c>
      <c r="AZ7" s="4">
        <f t="shared" si="0"/>
        <v>46784</v>
      </c>
      <c r="BA7" s="4">
        <f t="shared" si="0"/>
        <v>46813</v>
      </c>
      <c r="BB7" s="4">
        <f t="shared" si="0"/>
        <v>46844</v>
      </c>
      <c r="BC7" s="4">
        <f t="shared" si="0"/>
        <v>46874</v>
      </c>
      <c r="BD7" s="4">
        <f t="shared" si="0"/>
        <v>46905</v>
      </c>
      <c r="BE7" s="4">
        <f t="shared" si="0"/>
        <v>46935</v>
      </c>
      <c r="BF7" s="4">
        <f t="shared" si="0"/>
        <v>46966</v>
      </c>
      <c r="BG7" s="4">
        <f t="shared" si="0"/>
        <v>46997</v>
      </c>
      <c r="BH7" s="4">
        <f t="shared" si="0"/>
        <v>47027</v>
      </c>
      <c r="BI7" s="4">
        <f t="shared" si="0"/>
        <v>47058</v>
      </c>
      <c r="BJ7" s="4">
        <f t="shared" si="0"/>
        <v>47088</v>
      </c>
      <c r="BK7" s="4">
        <f t="shared" si="0"/>
        <v>47119</v>
      </c>
    </row>
    <row r="8" spans="1:63">
      <c r="A8" t="s">
        <v>174</v>
      </c>
      <c r="C8">
        <v>0</v>
      </c>
      <c r="D8">
        <f>C8+1</f>
        <v>1</v>
      </c>
      <c r="E8">
        <f t="shared" ref="E8:AK8" si="1">D8+1</f>
        <v>2</v>
      </c>
      <c r="F8">
        <f t="shared" si="1"/>
        <v>3</v>
      </c>
      <c r="G8">
        <f t="shared" si="1"/>
        <v>4</v>
      </c>
      <c r="H8">
        <f t="shared" si="1"/>
        <v>5</v>
      </c>
      <c r="I8">
        <f t="shared" si="1"/>
        <v>6</v>
      </c>
      <c r="J8">
        <f t="shared" si="1"/>
        <v>7</v>
      </c>
      <c r="K8">
        <f t="shared" si="1"/>
        <v>8</v>
      </c>
      <c r="L8">
        <f t="shared" si="1"/>
        <v>9</v>
      </c>
      <c r="M8">
        <f t="shared" si="1"/>
        <v>10</v>
      </c>
      <c r="N8">
        <f t="shared" si="1"/>
        <v>11</v>
      </c>
      <c r="O8">
        <f t="shared" si="1"/>
        <v>12</v>
      </c>
      <c r="P8">
        <f t="shared" si="1"/>
        <v>13</v>
      </c>
      <c r="Q8">
        <f t="shared" si="1"/>
        <v>14</v>
      </c>
      <c r="R8">
        <f t="shared" si="1"/>
        <v>15</v>
      </c>
      <c r="S8">
        <f t="shared" si="1"/>
        <v>16</v>
      </c>
      <c r="T8">
        <f t="shared" si="1"/>
        <v>17</v>
      </c>
      <c r="U8">
        <f t="shared" si="1"/>
        <v>18</v>
      </c>
      <c r="V8">
        <f t="shared" si="1"/>
        <v>19</v>
      </c>
      <c r="W8">
        <f t="shared" si="1"/>
        <v>20</v>
      </c>
      <c r="X8">
        <f t="shared" si="1"/>
        <v>21</v>
      </c>
      <c r="Y8">
        <f t="shared" si="1"/>
        <v>22</v>
      </c>
      <c r="Z8">
        <f t="shared" si="1"/>
        <v>23</v>
      </c>
      <c r="AA8">
        <f t="shared" si="1"/>
        <v>24</v>
      </c>
      <c r="AB8">
        <f t="shared" si="1"/>
        <v>25</v>
      </c>
      <c r="AC8">
        <f t="shared" si="1"/>
        <v>26</v>
      </c>
      <c r="AD8">
        <f t="shared" si="1"/>
        <v>27</v>
      </c>
      <c r="AE8">
        <f t="shared" si="1"/>
        <v>28</v>
      </c>
      <c r="AF8">
        <f t="shared" si="1"/>
        <v>29</v>
      </c>
      <c r="AG8">
        <f t="shared" si="1"/>
        <v>30</v>
      </c>
      <c r="AH8">
        <f t="shared" si="1"/>
        <v>31</v>
      </c>
      <c r="AI8">
        <f t="shared" si="1"/>
        <v>32</v>
      </c>
      <c r="AJ8">
        <f t="shared" si="1"/>
        <v>33</v>
      </c>
      <c r="AK8">
        <f t="shared" si="1"/>
        <v>34</v>
      </c>
      <c r="AL8">
        <f>AK8+1</f>
        <v>35</v>
      </c>
      <c r="AM8">
        <f t="shared" ref="AM8:BK8" si="2">AL8+1</f>
        <v>36</v>
      </c>
      <c r="AN8">
        <f t="shared" si="2"/>
        <v>37</v>
      </c>
      <c r="AO8">
        <f t="shared" si="2"/>
        <v>38</v>
      </c>
      <c r="AP8">
        <f t="shared" si="2"/>
        <v>39</v>
      </c>
      <c r="AQ8">
        <f t="shared" si="2"/>
        <v>40</v>
      </c>
      <c r="AR8">
        <f t="shared" si="2"/>
        <v>41</v>
      </c>
      <c r="AS8">
        <f t="shared" si="2"/>
        <v>42</v>
      </c>
      <c r="AT8">
        <f t="shared" si="2"/>
        <v>43</v>
      </c>
      <c r="AU8">
        <f t="shared" si="2"/>
        <v>44</v>
      </c>
      <c r="AV8">
        <f t="shared" si="2"/>
        <v>45</v>
      </c>
      <c r="AW8">
        <f t="shared" si="2"/>
        <v>46</v>
      </c>
      <c r="AX8">
        <f t="shared" si="2"/>
        <v>47</v>
      </c>
      <c r="AY8">
        <f t="shared" si="2"/>
        <v>48</v>
      </c>
      <c r="AZ8">
        <f t="shared" si="2"/>
        <v>49</v>
      </c>
      <c r="BA8">
        <f t="shared" si="2"/>
        <v>50</v>
      </c>
      <c r="BB8">
        <f t="shared" si="2"/>
        <v>51</v>
      </c>
      <c r="BC8">
        <f t="shared" si="2"/>
        <v>52</v>
      </c>
      <c r="BD8">
        <f t="shared" si="2"/>
        <v>53</v>
      </c>
      <c r="BE8">
        <f t="shared" si="2"/>
        <v>54</v>
      </c>
      <c r="BF8">
        <f t="shared" si="2"/>
        <v>55</v>
      </c>
      <c r="BG8">
        <f t="shared" si="2"/>
        <v>56</v>
      </c>
      <c r="BH8">
        <f t="shared" si="2"/>
        <v>57</v>
      </c>
      <c r="BI8">
        <f t="shared" si="2"/>
        <v>58</v>
      </c>
      <c r="BJ8">
        <f t="shared" si="2"/>
        <v>59</v>
      </c>
      <c r="BK8">
        <f t="shared" si="2"/>
        <v>60</v>
      </c>
    </row>
    <row r="9" spans="1:63">
      <c r="A9" t="s">
        <v>197</v>
      </c>
      <c r="C9">
        <f>YEAR(C7)</f>
        <v>2024</v>
      </c>
      <c r="D9">
        <f t="shared" ref="D9:BK9" si="3">YEAR(D7)</f>
        <v>2024</v>
      </c>
      <c r="E9">
        <f t="shared" si="3"/>
        <v>2024</v>
      </c>
      <c r="F9">
        <f t="shared" si="3"/>
        <v>2024</v>
      </c>
      <c r="G9">
        <f t="shared" si="3"/>
        <v>2024</v>
      </c>
      <c r="H9">
        <f t="shared" si="3"/>
        <v>2024</v>
      </c>
      <c r="I9">
        <f t="shared" si="3"/>
        <v>2024</v>
      </c>
      <c r="J9">
        <f t="shared" si="3"/>
        <v>2024</v>
      </c>
      <c r="K9">
        <f t="shared" si="3"/>
        <v>2024</v>
      </c>
      <c r="L9">
        <f t="shared" si="3"/>
        <v>2024</v>
      </c>
      <c r="M9">
        <f t="shared" si="3"/>
        <v>2024</v>
      </c>
      <c r="N9">
        <f t="shared" si="3"/>
        <v>2024</v>
      </c>
      <c r="O9">
        <f t="shared" si="3"/>
        <v>2025</v>
      </c>
      <c r="P9">
        <f t="shared" si="3"/>
        <v>2025</v>
      </c>
      <c r="Q9">
        <f t="shared" si="3"/>
        <v>2025</v>
      </c>
      <c r="R9">
        <f t="shared" si="3"/>
        <v>2025</v>
      </c>
      <c r="S9">
        <f t="shared" si="3"/>
        <v>2025</v>
      </c>
      <c r="T9">
        <f t="shared" si="3"/>
        <v>2025</v>
      </c>
      <c r="U9">
        <f t="shared" si="3"/>
        <v>2025</v>
      </c>
      <c r="V9">
        <f t="shared" si="3"/>
        <v>2025</v>
      </c>
      <c r="W9">
        <f t="shared" si="3"/>
        <v>2025</v>
      </c>
      <c r="X9">
        <f t="shared" si="3"/>
        <v>2025</v>
      </c>
      <c r="Y9">
        <f t="shared" si="3"/>
        <v>2025</v>
      </c>
      <c r="Z9">
        <f t="shared" si="3"/>
        <v>2025</v>
      </c>
      <c r="AA9">
        <f t="shared" si="3"/>
        <v>2026</v>
      </c>
      <c r="AB9">
        <f t="shared" si="3"/>
        <v>2026</v>
      </c>
      <c r="AC9">
        <f t="shared" si="3"/>
        <v>2026</v>
      </c>
      <c r="AD9">
        <f t="shared" si="3"/>
        <v>2026</v>
      </c>
      <c r="AE9">
        <f t="shared" si="3"/>
        <v>2026</v>
      </c>
      <c r="AF9">
        <f t="shared" si="3"/>
        <v>2026</v>
      </c>
      <c r="AG9">
        <f t="shared" si="3"/>
        <v>2026</v>
      </c>
      <c r="AH9">
        <f t="shared" si="3"/>
        <v>2026</v>
      </c>
      <c r="AI9">
        <f t="shared" si="3"/>
        <v>2026</v>
      </c>
      <c r="AJ9">
        <f t="shared" si="3"/>
        <v>2026</v>
      </c>
      <c r="AK9">
        <f t="shared" si="3"/>
        <v>2026</v>
      </c>
      <c r="AL9">
        <f t="shared" si="3"/>
        <v>2026</v>
      </c>
      <c r="AM9">
        <f t="shared" si="3"/>
        <v>2027</v>
      </c>
      <c r="AN9">
        <f t="shared" si="3"/>
        <v>2027</v>
      </c>
      <c r="AO9">
        <f t="shared" si="3"/>
        <v>2027</v>
      </c>
      <c r="AP9">
        <f t="shared" si="3"/>
        <v>2027</v>
      </c>
      <c r="AQ9">
        <f t="shared" si="3"/>
        <v>2027</v>
      </c>
      <c r="AR9">
        <f t="shared" si="3"/>
        <v>2027</v>
      </c>
      <c r="AS9">
        <f t="shared" si="3"/>
        <v>2027</v>
      </c>
      <c r="AT9">
        <f t="shared" si="3"/>
        <v>2027</v>
      </c>
      <c r="AU9">
        <f t="shared" si="3"/>
        <v>2027</v>
      </c>
      <c r="AV9">
        <f t="shared" si="3"/>
        <v>2027</v>
      </c>
      <c r="AW9">
        <f t="shared" si="3"/>
        <v>2027</v>
      </c>
      <c r="AX9">
        <f t="shared" si="3"/>
        <v>2027</v>
      </c>
      <c r="AY9">
        <f t="shared" si="3"/>
        <v>2028</v>
      </c>
      <c r="AZ9">
        <f t="shared" si="3"/>
        <v>2028</v>
      </c>
      <c r="BA9">
        <f t="shared" si="3"/>
        <v>2028</v>
      </c>
      <c r="BB9">
        <f t="shared" si="3"/>
        <v>2028</v>
      </c>
      <c r="BC9">
        <f t="shared" si="3"/>
        <v>2028</v>
      </c>
      <c r="BD9">
        <f t="shared" si="3"/>
        <v>2028</v>
      </c>
      <c r="BE9">
        <f t="shared" si="3"/>
        <v>2028</v>
      </c>
      <c r="BF9">
        <f t="shared" si="3"/>
        <v>2028</v>
      </c>
      <c r="BG9">
        <f t="shared" si="3"/>
        <v>2028</v>
      </c>
      <c r="BH9">
        <f t="shared" si="3"/>
        <v>2028</v>
      </c>
      <c r="BI9">
        <f t="shared" si="3"/>
        <v>2028</v>
      </c>
      <c r="BJ9">
        <f t="shared" si="3"/>
        <v>2028</v>
      </c>
      <c r="BK9">
        <f t="shared" si="3"/>
        <v>2029</v>
      </c>
    </row>
    <row r="10" spans="1:63">
      <c r="A10" t="s">
        <v>198</v>
      </c>
      <c r="C10">
        <v>1</v>
      </c>
      <c r="D10">
        <f t="shared" ref="D10:BK10" si="4">ROUNDUP(D8/12,0)</f>
        <v>1</v>
      </c>
      <c r="E10">
        <f t="shared" si="4"/>
        <v>1</v>
      </c>
      <c r="F10">
        <f t="shared" si="4"/>
        <v>1</v>
      </c>
      <c r="G10">
        <f t="shared" si="4"/>
        <v>1</v>
      </c>
      <c r="H10">
        <f t="shared" si="4"/>
        <v>1</v>
      </c>
      <c r="I10">
        <f t="shared" si="4"/>
        <v>1</v>
      </c>
      <c r="J10">
        <f t="shared" si="4"/>
        <v>1</v>
      </c>
      <c r="K10">
        <f t="shared" si="4"/>
        <v>1</v>
      </c>
      <c r="L10">
        <f t="shared" si="4"/>
        <v>1</v>
      </c>
      <c r="M10">
        <f t="shared" si="4"/>
        <v>1</v>
      </c>
      <c r="N10">
        <f t="shared" si="4"/>
        <v>1</v>
      </c>
      <c r="O10">
        <f t="shared" si="4"/>
        <v>1</v>
      </c>
      <c r="P10">
        <f t="shared" si="4"/>
        <v>2</v>
      </c>
      <c r="Q10">
        <f t="shared" si="4"/>
        <v>2</v>
      </c>
      <c r="R10">
        <f t="shared" si="4"/>
        <v>2</v>
      </c>
      <c r="S10">
        <f t="shared" si="4"/>
        <v>2</v>
      </c>
      <c r="T10">
        <f t="shared" si="4"/>
        <v>2</v>
      </c>
      <c r="U10">
        <f t="shared" si="4"/>
        <v>2</v>
      </c>
      <c r="V10">
        <f t="shared" si="4"/>
        <v>2</v>
      </c>
      <c r="W10">
        <f t="shared" si="4"/>
        <v>2</v>
      </c>
      <c r="X10">
        <f t="shared" si="4"/>
        <v>2</v>
      </c>
      <c r="Y10">
        <f t="shared" si="4"/>
        <v>2</v>
      </c>
      <c r="Z10">
        <f t="shared" si="4"/>
        <v>2</v>
      </c>
      <c r="AA10">
        <f t="shared" si="4"/>
        <v>2</v>
      </c>
      <c r="AB10">
        <f t="shared" si="4"/>
        <v>3</v>
      </c>
      <c r="AC10">
        <f t="shared" si="4"/>
        <v>3</v>
      </c>
      <c r="AD10">
        <f t="shared" si="4"/>
        <v>3</v>
      </c>
      <c r="AE10">
        <f t="shared" si="4"/>
        <v>3</v>
      </c>
      <c r="AF10">
        <f t="shared" si="4"/>
        <v>3</v>
      </c>
      <c r="AG10">
        <f t="shared" si="4"/>
        <v>3</v>
      </c>
      <c r="AH10">
        <f t="shared" si="4"/>
        <v>3</v>
      </c>
      <c r="AI10">
        <f t="shared" si="4"/>
        <v>3</v>
      </c>
      <c r="AJ10">
        <f t="shared" si="4"/>
        <v>3</v>
      </c>
      <c r="AK10">
        <f t="shared" si="4"/>
        <v>3</v>
      </c>
      <c r="AL10">
        <f t="shared" si="4"/>
        <v>3</v>
      </c>
      <c r="AM10">
        <f t="shared" si="4"/>
        <v>3</v>
      </c>
      <c r="AN10">
        <f t="shared" si="4"/>
        <v>4</v>
      </c>
      <c r="AO10">
        <f t="shared" si="4"/>
        <v>4</v>
      </c>
      <c r="AP10">
        <f t="shared" si="4"/>
        <v>4</v>
      </c>
      <c r="AQ10">
        <f t="shared" si="4"/>
        <v>4</v>
      </c>
      <c r="AR10">
        <f t="shared" si="4"/>
        <v>4</v>
      </c>
      <c r="AS10">
        <f t="shared" si="4"/>
        <v>4</v>
      </c>
      <c r="AT10">
        <f t="shared" si="4"/>
        <v>4</v>
      </c>
      <c r="AU10">
        <f t="shared" si="4"/>
        <v>4</v>
      </c>
      <c r="AV10">
        <f t="shared" si="4"/>
        <v>4</v>
      </c>
      <c r="AW10">
        <f t="shared" si="4"/>
        <v>4</v>
      </c>
      <c r="AX10">
        <f t="shared" si="4"/>
        <v>4</v>
      </c>
      <c r="AY10">
        <f t="shared" si="4"/>
        <v>4</v>
      </c>
      <c r="AZ10">
        <f t="shared" si="4"/>
        <v>5</v>
      </c>
      <c r="BA10">
        <f t="shared" si="4"/>
        <v>5</v>
      </c>
      <c r="BB10">
        <f t="shared" si="4"/>
        <v>5</v>
      </c>
      <c r="BC10">
        <f t="shared" si="4"/>
        <v>5</v>
      </c>
      <c r="BD10">
        <f t="shared" si="4"/>
        <v>5</v>
      </c>
      <c r="BE10">
        <f t="shared" si="4"/>
        <v>5</v>
      </c>
      <c r="BF10">
        <f t="shared" si="4"/>
        <v>5</v>
      </c>
      <c r="BG10">
        <f t="shared" si="4"/>
        <v>5</v>
      </c>
      <c r="BH10">
        <f t="shared" si="4"/>
        <v>5</v>
      </c>
      <c r="BI10">
        <f t="shared" si="4"/>
        <v>5</v>
      </c>
      <c r="BJ10">
        <f t="shared" si="4"/>
        <v>5</v>
      </c>
      <c r="BK10">
        <f t="shared" si="4"/>
        <v>5</v>
      </c>
    </row>
    <row r="12" spans="1:63">
      <c r="A12" s="330" t="s">
        <v>199</v>
      </c>
      <c r="B12" s="330"/>
      <c r="C12" s="330"/>
      <c r="D12" s="330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0"/>
      <c r="AS12" s="330"/>
      <c r="AT12" s="330"/>
      <c r="AU12" s="330"/>
      <c r="AV12" s="330"/>
      <c r="AW12" s="330"/>
      <c r="AX12" s="330"/>
      <c r="AY12" s="330"/>
      <c r="AZ12" s="330"/>
      <c r="BA12" s="330"/>
      <c r="BB12" s="330"/>
      <c r="BC12" s="330"/>
      <c r="BD12" s="330"/>
      <c r="BE12" s="330"/>
      <c r="BF12" s="330"/>
      <c r="BG12" s="330"/>
      <c r="BH12" s="330"/>
      <c r="BI12" s="330"/>
      <c r="BJ12" s="330"/>
      <c r="BK12" s="330"/>
    </row>
    <row r="13" spans="1:63">
      <c r="A13" s="10" t="s">
        <v>200</v>
      </c>
    </row>
    <row r="14" spans="1:63">
      <c r="A14" s="2" t="s">
        <v>201</v>
      </c>
      <c r="B14" s="2"/>
      <c r="C14" s="46">
        <f>-Inputs!L74</f>
        <v>-5000000</v>
      </c>
      <c r="D14" s="2"/>
      <c r="E14" s="2"/>
      <c r="F14" s="2"/>
      <c r="G14" s="2"/>
    </row>
    <row r="15" spans="1:63" s="5" customFormat="1">
      <c r="A15" s="5" t="s">
        <v>202</v>
      </c>
      <c r="B15"/>
      <c r="C15" s="19">
        <f t="shared" ref="C15:AH15" si="5">SUM(C14:C14)</f>
        <v>-5000000</v>
      </c>
      <c r="D15" s="19">
        <f t="shared" si="5"/>
        <v>0</v>
      </c>
      <c r="E15" s="19">
        <f t="shared" si="5"/>
        <v>0</v>
      </c>
      <c r="F15" s="19">
        <f t="shared" si="5"/>
        <v>0</v>
      </c>
      <c r="G15" s="19">
        <f t="shared" si="5"/>
        <v>0</v>
      </c>
      <c r="H15" s="18">
        <f t="shared" si="5"/>
        <v>0</v>
      </c>
      <c r="I15" s="18">
        <f t="shared" si="5"/>
        <v>0</v>
      </c>
      <c r="J15" s="18">
        <f t="shared" si="5"/>
        <v>0</v>
      </c>
      <c r="K15" s="18">
        <f t="shared" si="5"/>
        <v>0</v>
      </c>
      <c r="L15" s="18">
        <f t="shared" si="5"/>
        <v>0</v>
      </c>
      <c r="M15" s="18">
        <f t="shared" si="5"/>
        <v>0</v>
      </c>
      <c r="N15" s="18">
        <f t="shared" si="5"/>
        <v>0</v>
      </c>
      <c r="O15" s="18">
        <f t="shared" si="5"/>
        <v>0</v>
      </c>
      <c r="P15" s="18">
        <f t="shared" si="5"/>
        <v>0</v>
      </c>
      <c r="Q15" s="18">
        <f t="shared" si="5"/>
        <v>0</v>
      </c>
      <c r="R15" s="18">
        <f t="shared" si="5"/>
        <v>0</v>
      </c>
      <c r="S15" s="18">
        <f t="shared" si="5"/>
        <v>0</v>
      </c>
      <c r="T15" s="18">
        <f t="shared" si="5"/>
        <v>0</v>
      </c>
      <c r="U15" s="18">
        <f t="shared" si="5"/>
        <v>0</v>
      </c>
      <c r="V15" s="18">
        <f t="shared" si="5"/>
        <v>0</v>
      </c>
      <c r="W15" s="18">
        <f t="shared" si="5"/>
        <v>0</v>
      </c>
      <c r="X15" s="18">
        <f t="shared" si="5"/>
        <v>0</v>
      </c>
      <c r="Y15" s="18">
        <f t="shared" si="5"/>
        <v>0</v>
      </c>
      <c r="Z15" s="18">
        <f t="shared" si="5"/>
        <v>0</v>
      </c>
      <c r="AA15" s="18">
        <f t="shared" si="5"/>
        <v>0</v>
      </c>
      <c r="AB15" s="18">
        <f t="shared" si="5"/>
        <v>0</v>
      </c>
      <c r="AC15" s="18">
        <f t="shared" si="5"/>
        <v>0</v>
      </c>
      <c r="AD15" s="18">
        <f t="shared" si="5"/>
        <v>0</v>
      </c>
      <c r="AE15" s="18">
        <f t="shared" si="5"/>
        <v>0</v>
      </c>
      <c r="AF15" s="18">
        <f t="shared" si="5"/>
        <v>0</v>
      </c>
      <c r="AG15" s="18">
        <f t="shared" si="5"/>
        <v>0</v>
      </c>
      <c r="AH15" s="18">
        <f t="shared" si="5"/>
        <v>0</v>
      </c>
      <c r="AI15" s="18">
        <f t="shared" ref="AI15:BK15" si="6">SUM(AI14:AI14)</f>
        <v>0</v>
      </c>
      <c r="AJ15" s="18">
        <f t="shared" si="6"/>
        <v>0</v>
      </c>
      <c r="AK15" s="18">
        <f t="shared" si="6"/>
        <v>0</v>
      </c>
      <c r="AL15" s="18">
        <f t="shared" si="6"/>
        <v>0</v>
      </c>
      <c r="AM15" s="18">
        <f t="shared" si="6"/>
        <v>0</v>
      </c>
      <c r="AN15" s="18">
        <f t="shared" si="6"/>
        <v>0</v>
      </c>
      <c r="AO15" s="18">
        <f t="shared" si="6"/>
        <v>0</v>
      </c>
      <c r="AP15" s="18">
        <f t="shared" si="6"/>
        <v>0</v>
      </c>
      <c r="AQ15" s="18">
        <f t="shared" si="6"/>
        <v>0</v>
      </c>
      <c r="AR15" s="18">
        <f t="shared" si="6"/>
        <v>0</v>
      </c>
      <c r="AS15" s="18">
        <f t="shared" si="6"/>
        <v>0</v>
      </c>
      <c r="AT15" s="18">
        <f t="shared" si="6"/>
        <v>0</v>
      </c>
      <c r="AU15" s="18">
        <f t="shared" si="6"/>
        <v>0</v>
      </c>
      <c r="AV15" s="18">
        <f t="shared" si="6"/>
        <v>0</v>
      </c>
      <c r="AW15" s="18">
        <f t="shared" si="6"/>
        <v>0</v>
      </c>
      <c r="AX15" s="18">
        <f t="shared" si="6"/>
        <v>0</v>
      </c>
      <c r="AY15" s="18">
        <f t="shared" si="6"/>
        <v>0</v>
      </c>
      <c r="AZ15" s="18">
        <f t="shared" si="6"/>
        <v>0</v>
      </c>
      <c r="BA15" s="18">
        <f t="shared" si="6"/>
        <v>0</v>
      </c>
      <c r="BB15" s="18">
        <f t="shared" si="6"/>
        <v>0</v>
      </c>
      <c r="BC15" s="18">
        <f t="shared" si="6"/>
        <v>0</v>
      </c>
      <c r="BD15" s="18">
        <f t="shared" si="6"/>
        <v>0</v>
      </c>
      <c r="BE15" s="18">
        <f t="shared" si="6"/>
        <v>0</v>
      </c>
      <c r="BF15" s="18">
        <f t="shared" si="6"/>
        <v>0</v>
      </c>
      <c r="BG15" s="18">
        <f t="shared" si="6"/>
        <v>0</v>
      </c>
      <c r="BH15" s="18">
        <f t="shared" si="6"/>
        <v>0</v>
      </c>
      <c r="BI15" s="18">
        <f t="shared" si="6"/>
        <v>0</v>
      </c>
      <c r="BJ15" s="18">
        <f t="shared" si="6"/>
        <v>0</v>
      </c>
      <c r="BK15" s="18">
        <f t="shared" si="6"/>
        <v>0</v>
      </c>
    </row>
    <row r="16" spans="1:63" s="5" customFormat="1">
      <c r="C16" s="19"/>
      <c r="D16" s="19"/>
      <c r="E16" s="19"/>
      <c r="F16" s="19"/>
      <c r="G16" s="19"/>
      <c r="H16" s="19"/>
      <c r="I16" s="19"/>
      <c r="J16" s="19"/>
      <c r="K16" s="47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</row>
    <row r="17" spans="1:63" s="5" customFormat="1">
      <c r="A17" s="5" t="s">
        <v>203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</row>
    <row r="18" spans="1:63">
      <c r="A18" s="11" t="s">
        <v>204</v>
      </c>
      <c r="C18" s="58">
        <f>IF(C8=Inputs!$L$91,Inputs!$J$33,IF(AND(C8&gt;Inputs!$L$91,C8&lt;=Inputs!$L$92),(1-Inputs!$J$33)/(Inputs!$L$92-Inputs!$L$91),0))</f>
        <v>0</v>
      </c>
      <c r="D18" s="58">
        <f>IF(D8=Inputs!$L$91,Inputs!$J$33,IF(AND(D8&gt;Inputs!$L$91,D8&lt;=Inputs!$L$92),(1-Inputs!$J$33)/(Inputs!$L$92-Inputs!$L$91),0))</f>
        <v>0</v>
      </c>
      <c r="E18" s="58">
        <f>IF(E8=Inputs!$L$91,Inputs!$J$33,IF(AND(E8&gt;Inputs!$L$91,E8&lt;=Inputs!$L$92),(1-Inputs!$J$33)/(Inputs!$L$92-Inputs!$L$91),0))</f>
        <v>0</v>
      </c>
      <c r="F18" s="58">
        <f>IF(F8=Inputs!$L$91,Inputs!$J$33,IF(AND(F8&gt;Inputs!$L$91,F8&lt;=Inputs!$L$92),(1-Inputs!$J$33)/(Inputs!$L$92-Inputs!$L$91),0))</f>
        <v>0</v>
      </c>
      <c r="G18" s="58">
        <f>IF(G8=Inputs!$L$91,Inputs!$J$33,IF(AND(G8&gt;Inputs!$L$91,G8&lt;=Inputs!$L$92),(1-Inputs!$J$33)/(Inputs!$L$92-Inputs!$L$91),0))</f>
        <v>0</v>
      </c>
      <c r="H18" s="58">
        <f>IF(H8=Inputs!$L$91,Inputs!$J$33,IF(AND(H8&gt;Inputs!$L$91,H8&lt;=Inputs!$L$92),(1-Inputs!$J$33)/(Inputs!$L$92-Inputs!$L$91),0))</f>
        <v>0.25</v>
      </c>
      <c r="I18" s="58">
        <f>IF(I8=Inputs!$L$91,Inputs!$J$33,IF(AND(I8&gt;Inputs!$L$91,I8&lt;=Inputs!$L$92),(1-Inputs!$J$33)/(Inputs!$L$92-Inputs!$L$91),0))</f>
        <v>0.15</v>
      </c>
      <c r="J18" s="58">
        <f>IF(J8=Inputs!$L$91,Inputs!$J$33,IF(AND(J8&gt;Inputs!$L$91,J8&lt;=Inputs!$L$92),(1-Inputs!$J$33)/(Inputs!$L$92-Inputs!$L$91),0))</f>
        <v>0.15</v>
      </c>
      <c r="K18" s="58">
        <f>IF(K8=Inputs!$L$91,Inputs!$J$33,IF(AND(K8&gt;Inputs!$L$91,K8&lt;=Inputs!$L$92),(1-Inputs!$J$33)/(Inputs!$L$92-Inputs!$L$91),0))</f>
        <v>0.15</v>
      </c>
      <c r="L18" s="58">
        <f>IF(L8=Inputs!$L$91,Inputs!$J$33,IF(AND(L8&gt;Inputs!$L$91,L8&lt;=Inputs!$L$92),(1-Inputs!$J$33)/(Inputs!$L$92-Inputs!$L$91),0))</f>
        <v>0.15</v>
      </c>
      <c r="M18" s="58">
        <f>IF(M8=Inputs!$L$91,Inputs!$J$33,IF(AND(M8&gt;Inputs!$L$91,M8&lt;=Inputs!$L$92),(1-Inputs!$J$33)/(Inputs!$L$92-Inputs!$L$91),0))</f>
        <v>0.15</v>
      </c>
      <c r="N18" s="58">
        <f>IF(N8=Inputs!$L$91,Inputs!$J$33,IF(AND(N8&gt;Inputs!$L$91,N8&lt;=Inputs!$L$92),(1-Inputs!$J$33)/(Inputs!$L$92-Inputs!$L$91),0))</f>
        <v>0</v>
      </c>
      <c r="O18" s="58">
        <f>IF(O8=Inputs!$L$91,Inputs!$J$33,IF(AND(O8&gt;Inputs!$L$91,O8&lt;=Inputs!$L$92),(1-Inputs!$J$33)/(Inputs!$L$92-Inputs!$L$91),0))</f>
        <v>0</v>
      </c>
      <c r="P18" s="58">
        <f>IF(P8=Inputs!$L$91,Inputs!$J$33,IF(AND(P8&gt;Inputs!$L$91,P8&lt;=Inputs!$L$92),(1-Inputs!$J$33)/(Inputs!$L$92-Inputs!$L$91),0))</f>
        <v>0</v>
      </c>
      <c r="Q18" s="58">
        <f>IF(Q8=Inputs!$L$91,Inputs!$J$33,IF(AND(Q8&gt;Inputs!$L$91,Q8&lt;=Inputs!$L$92),(1-Inputs!$J$33)/(Inputs!$L$92-Inputs!$L$91),0))</f>
        <v>0</v>
      </c>
      <c r="R18" s="58">
        <f>IF(R8=Inputs!$L$91,Inputs!$J$33,IF(AND(R8&gt;Inputs!$L$91,R8&lt;=Inputs!$L$92),(1-Inputs!$J$33)/(Inputs!$L$92-Inputs!$L$91),0))</f>
        <v>0</v>
      </c>
      <c r="S18" s="58">
        <f>IF(S8=Inputs!$L$91,Inputs!$J$33,IF(AND(S8&gt;Inputs!$L$91,S8&lt;=Inputs!$L$92),(1-Inputs!$J$33)/(Inputs!$L$92-Inputs!$L$91),0))</f>
        <v>0</v>
      </c>
      <c r="T18" s="58">
        <f>IF(T8=Inputs!$L$91,Inputs!$J$33,IF(AND(T8&gt;Inputs!$L$91,T8&lt;=Inputs!$L$92),(1-Inputs!$J$33)/(Inputs!$L$92-Inputs!$L$91),0))</f>
        <v>0</v>
      </c>
      <c r="U18" s="58">
        <f>IF(U8=Inputs!$L$91,Inputs!$J$33,IF(AND(U8&gt;Inputs!$L$91,U8&lt;=Inputs!$L$92),(1-Inputs!$J$33)/(Inputs!$L$92-Inputs!$L$91),0))</f>
        <v>0</v>
      </c>
      <c r="V18" s="58">
        <f>IF(V8=Inputs!$L$91,Inputs!$J$33,IF(AND(V8&gt;Inputs!$L$91,V8&lt;=Inputs!$L$92),(1-Inputs!$J$33)/(Inputs!$L$92-Inputs!$L$91),0))</f>
        <v>0</v>
      </c>
      <c r="W18" s="58">
        <f>IF(W8=Inputs!$L$91,Inputs!$J$33,IF(AND(W8&gt;Inputs!$L$91,W8&lt;=Inputs!$L$92),(1-Inputs!$J$33)/(Inputs!$L$92-Inputs!$L$91),0))</f>
        <v>0</v>
      </c>
      <c r="X18" s="58">
        <f>IF(X8=Inputs!$L$91,Inputs!$J$33,IF(AND(X8&gt;Inputs!$L$91,X8&lt;=Inputs!$L$92),(1-Inputs!$J$33)/(Inputs!$L$92-Inputs!$L$91),0))</f>
        <v>0</v>
      </c>
      <c r="Y18" s="58">
        <f>IF(Y8=Inputs!$L$91,Inputs!$J$33,IF(AND(Y8&gt;Inputs!$L$91,Y8&lt;=Inputs!$L$92),(1-Inputs!$J$33)/(Inputs!$L$92-Inputs!$L$91),0))</f>
        <v>0</v>
      </c>
      <c r="Z18" s="58">
        <f>IF(Z8=Inputs!$L$91,Inputs!$J$33,IF(AND(Z8&gt;Inputs!$L$91,Z8&lt;=Inputs!$L$92),(1-Inputs!$J$33)/(Inputs!$L$92-Inputs!$L$91),0))</f>
        <v>0</v>
      </c>
      <c r="AA18" s="58">
        <f>IF(AA8=Inputs!$L$91,Inputs!$J$33,IF(AND(AA8&gt;Inputs!$L$91,AA8&lt;=Inputs!$L$92),(1-Inputs!$J$33)/(Inputs!$L$92-Inputs!$L$91),0))</f>
        <v>0</v>
      </c>
      <c r="AB18" s="58">
        <f>IF(AB8=Inputs!$L$91,Inputs!$J$33,IF(AND(AB8&gt;Inputs!$L$91,AB8&lt;=Inputs!$L$92),(1-Inputs!$J$33)/(Inputs!$L$92-Inputs!$L$91),0))</f>
        <v>0</v>
      </c>
      <c r="AC18" s="58">
        <f>IF(AC8=Inputs!$L$91,Inputs!$J$33,IF(AND(AC8&gt;Inputs!$L$91,AC8&lt;=Inputs!$L$92),(1-Inputs!$J$33)/(Inputs!$L$92-Inputs!$L$91),0))</f>
        <v>0</v>
      </c>
      <c r="AD18" s="58">
        <f>IF(AD8=Inputs!$L$91,Inputs!$J$33,IF(AND(AD8&gt;Inputs!$L$91,AD8&lt;=Inputs!$L$92),(1-Inputs!$J$33)/(Inputs!$L$92-Inputs!$L$91),0))</f>
        <v>0</v>
      </c>
      <c r="AE18" s="58">
        <f>IF(AE8=Inputs!$L$91,Inputs!$J$33,IF(AND(AE8&gt;Inputs!$L$91,AE8&lt;=Inputs!$L$92),(1-Inputs!$J$33)/(Inputs!$L$92-Inputs!$L$91),0))</f>
        <v>0</v>
      </c>
      <c r="AF18" s="58">
        <f>IF(AF8=Inputs!$L$91,Inputs!$J$33,IF(AND(AF8&gt;Inputs!$L$91,AF8&lt;=Inputs!$L$92),(1-Inputs!$J$33)/(Inputs!$L$92-Inputs!$L$91),0))</f>
        <v>0</v>
      </c>
      <c r="AG18" s="58">
        <f>IF(AG8=Inputs!$L$91,Inputs!$J$33,IF(AND(AG8&gt;Inputs!$L$91,AG8&lt;=Inputs!$L$92),(1-Inputs!$J$33)/(Inputs!$L$92-Inputs!$L$91),0))</f>
        <v>0</v>
      </c>
      <c r="AH18" s="58">
        <f>IF(AH8=Inputs!$L$91,Inputs!$J$33,IF(AND(AH8&gt;Inputs!$L$91,AH8&lt;=Inputs!$L$92),(1-Inputs!$J$33)/(Inputs!$L$92-Inputs!$L$91),0))</f>
        <v>0</v>
      </c>
      <c r="AI18" s="58">
        <f>IF(AI8=Inputs!$L$91,Inputs!$J$33,IF(AND(AI8&gt;Inputs!$L$91,AI8&lt;=Inputs!$L$92),(1-Inputs!$J$33)/(Inputs!$L$92-Inputs!$L$91),0))</f>
        <v>0</v>
      </c>
      <c r="AJ18" s="58">
        <f>IF(AJ8=Inputs!$L$91,Inputs!$J$33,IF(AND(AJ8&gt;Inputs!$L$91,AJ8&lt;=Inputs!$L$92),(1-Inputs!$J$33)/(Inputs!$L$92-Inputs!$L$91),0))</f>
        <v>0</v>
      </c>
      <c r="AK18" s="58">
        <f>IF(AK8=Inputs!$L$91,Inputs!$J$33,IF(AND(AK8&gt;Inputs!$L$91,AK8&lt;=Inputs!$L$92),(1-Inputs!$J$33)/(Inputs!$L$92-Inputs!$L$91),0))</f>
        <v>0</v>
      </c>
      <c r="AL18" s="58">
        <f>IF(AL8=Inputs!$L$91,Inputs!$J$33,IF(AND(AL8&gt;Inputs!$L$91,AL8&lt;=Inputs!$L$92),(1-Inputs!$J$33)/(Inputs!$L$92-Inputs!$L$91),0))</f>
        <v>0</v>
      </c>
      <c r="AM18" s="58">
        <f>IF(AM8=Inputs!$L$91,Inputs!$J$33,IF(AND(AM8&gt;Inputs!$L$91,AM8&lt;=Inputs!$L$92),(1-Inputs!$J$33)/(Inputs!$L$92-Inputs!$L$91),0))</f>
        <v>0</v>
      </c>
      <c r="AN18" s="58">
        <f>IF(AN8=Inputs!$L$91,Inputs!$J$33,IF(AND(AN8&gt;Inputs!$L$91,AN8&lt;=Inputs!$L$92),(1-Inputs!$J$33)/(Inputs!$L$92-Inputs!$L$91),0))</f>
        <v>0</v>
      </c>
      <c r="AO18" s="58">
        <f>IF(AO8=Inputs!$L$91,Inputs!$J$33,IF(AND(AO8&gt;Inputs!$L$91,AO8&lt;=Inputs!$L$92),(1-Inputs!$J$33)/(Inputs!$L$92-Inputs!$L$91),0))</f>
        <v>0</v>
      </c>
      <c r="AP18" s="58">
        <f>IF(AP8=Inputs!$L$91,Inputs!$J$33,IF(AND(AP8&gt;Inputs!$L$91,AP8&lt;=Inputs!$L$92),(1-Inputs!$J$33)/(Inputs!$L$92-Inputs!$L$91),0))</f>
        <v>0</v>
      </c>
      <c r="AQ18" s="58">
        <f>IF(AQ8=Inputs!$L$91,Inputs!$J$33,IF(AND(AQ8&gt;Inputs!$L$91,AQ8&lt;=Inputs!$L$92),(1-Inputs!$J$33)/(Inputs!$L$92-Inputs!$L$91),0))</f>
        <v>0</v>
      </c>
      <c r="AR18" s="58">
        <f>IF(AR8=Inputs!$L$91,Inputs!$J$33,IF(AND(AR8&gt;Inputs!$L$91,AR8&lt;=Inputs!$L$92),(1-Inputs!$J$33)/(Inputs!$L$92-Inputs!$L$91),0))</f>
        <v>0</v>
      </c>
      <c r="AS18" s="58">
        <f>IF(AS8=Inputs!$L$91,Inputs!$J$33,IF(AND(AS8&gt;Inputs!$L$91,AS8&lt;=Inputs!$L$92),(1-Inputs!$J$33)/(Inputs!$L$92-Inputs!$L$91),0))</f>
        <v>0</v>
      </c>
      <c r="AT18" s="58">
        <f>IF(AT8=Inputs!$L$91,Inputs!$J$33,IF(AND(AT8&gt;Inputs!$L$91,AT8&lt;=Inputs!$L$92),(1-Inputs!$J$33)/(Inputs!$L$92-Inputs!$L$91),0))</f>
        <v>0</v>
      </c>
      <c r="AU18" s="58">
        <f>IF(AU8=Inputs!$L$91,Inputs!$J$33,IF(AND(AU8&gt;Inputs!$L$91,AU8&lt;=Inputs!$L$92),(1-Inputs!$J$33)/(Inputs!$L$92-Inputs!$L$91),0))</f>
        <v>0</v>
      </c>
      <c r="AV18" s="58">
        <f>IF(AV8=Inputs!$L$91,Inputs!$J$33,IF(AND(AV8&gt;Inputs!$L$91,AV8&lt;=Inputs!$L$92),(1-Inputs!$J$33)/(Inputs!$L$92-Inputs!$L$91),0))</f>
        <v>0</v>
      </c>
      <c r="AW18" s="58">
        <f>IF(AW8=Inputs!$L$91,Inputs!$J$33,IF(AND(AW8&gt;Inputs!$L$91,AW8&lt;=Inputs!$L$92),(1-Inputs!$J$33)/(Inputs!$L$92-Inputs!$L$91),0))</f>
        <v>0</v>
      </c>
      <c r="AX18" s="58">
        <f>IF(AX8=Inputs!$L$91,Inputs!$J$33,IF(AND(AX8&gt;Inputs!$L$91,AX8&lt;=Inputs!$L$92),(1-Inputs!$J$33)/(Inputs!$L$92-Inputs!$L$91),0))</f>
        <v>0</v>
      </c>
      <c r="AY18" s="58">
        <f>IF(AY8=Inputs!$L$91,Inputs!$J$33,IF(AND(AY8&gt;Inputs!$L$91,AY8&lt;=Inputs!$L$92),(1-Inputs!$J$33)/(Inputs!$L$92-Inputs!$L$91),0))</f>
        <v>0</v>
      </c>
      <c r="AZ18" s="58">
        <f>IF(AZ8=Inputs!$L$91,Inputs!$J$33,IF(AND(AZ8&gt;Inputs!$L$91,AZ8&lt;=Inputs!$L$92),(1-Inputs!$J$33)/(Inputs!$L$92-Inputs!$L$91),0))</f>
        <v>0</v>
      </c>
      <c r="BA18" s="58">
        <f>IF(BA8=Inputs!$L$91,Inputs!$J$33,IF(AND(BA8&gt;Inputs!$L$91,BA8&lt;=Inputs!$L$92),(1-Inputs!$J$33)/(Inputs!$L$92-Inputs!$L$91),0))</f>
        <v>0</v>
      </c>
      <c r="BB18" s="58">
        <f>IF(BB8=Inputs!$L$91,Inputs!$J$33,IF(AND(BB8&gt;Inputs!$L$91,BB8&lt;=Inputs!$L$92),(1-Inputs!$J$33)/(Inputs!$L$92-Inputs!$L$91),0))</f>
        <v>0</v>
      </c>
      <c r="BC18" s="58">
        <f>IF(BC8=Inputs!$L$91,Inputs!$J$33,IF(AND(BC8&gt;Inputs!$L$91,BC8&lt;=Inputs!$L$92),(1-Inputs!$J$33)/(Inputs!$L$92-Inputs!$L$91),0))</f>
        <v>0</v>
      </c>
      <c r="BD18" s="58">
        <f>IF(BD8=Inputs!$L$91,Inputs!$J$33,IF(AND(BD8&gt;Inputs!$L$91,BD8&lt;=Inputs!$L$92),(1-Inputs!$J$33)/(Inputs!$L$92-Inputs!$L$91),0))</f>
        <v>0</v>
      </c>
      <c r="BE18" s="58">
        <f>IF(BE8=Inputs!$L$91,Inputs!$J$33,IF(AND(BE8&gt;Inputs!$L$91,BE8&lt;=Inputs!$L$92),(1-Inputs!$J$33)/(Inputs!$L$92-Inputs!$L$91),0))</f>
        <v>0</v>
      </c>
      <c r="BF18" s="58">
        <f>IF(BF8=Inputs!$L$91,Inputs!$J$33,IF(AND(BF8&gt;Inputs!$L$91,BF8&lt;=Inputs!$L$92),(1-Inputs!$J$33)/(Inputs!$L$92-Inputs!$L$91),0))</f>
        <v>0</v>
      </c>
      <c r="BG18" s="58">
        <f>IF(BG8=Inputs!$L$91,Inputs!$J$33,IF(AND(BG8&gt;Inputs!$L$91,BG8&lt;=Inputs!$L$92),(1-Inputs!$J$33)/(Inputs!$L$92-Inputs!$L$91),0))</f>
        <v>0</v>
      </c>
      <c r="BH18" s="58">
        <f>IF(BH8=Inputs!$L$91,Inputs!$J$33,IF(AND(BH8&gt;Inputs!$L$91,BH8&lt;=Inputs!$L$92),(1-Inputs!$J$33)/(Inputs!$L$92-Inputs!$L$91),0))</f>
        <v>0</v>
      </c>
      <c r="BI18" s="58">
        <f>IF(BI8=Inputs!$L$91,Inputs!$J$33,IF(AND(BI8&gt;Inputs!$L$91,BI8&lt;=Inputs!$L$92),(1-Inputs!$J$33)/(Inputs!$L$92-Inputs!$L$91),0))</f>
        <v>0</v>
      </c>
      <c r="BJ18" s="58">
        <f>IF(BJ8=Inputs!$L$91,Inputs!$J$33,IF(AND(BJ8&gt;Inputs!$L$91,BJ8&lt;=Inputs!$L$92),(1-Inputs!$J$33)/(Inputs!$L$92-Inputs!$L$91),0))</f>
        <v>0</v>
      </c>
      <c r="BK18" s="58">
        <f>IF(BK8=Inputs!$L$91,Inputs!$J$33,IF(AND(BK8&gt;Inputs!$L$91,BK8&lt;=Inputs!$L$92),(1-Inputs!$J$33)/(Inputs!$L$92-Inputs!$L$91),0))</f>
        <v>0</v>
      </c>
    </row>
    <row r="19" spans="1:63">
      <c r="A19" s="11" t="s">
        <v>205</v>
      </c>
      <c r="C19" s="59">
        <f>-C18*Inputs!$L$33</f>
        <v>0</v>
      </c>
      <c r="D19" s="59">
        <f>-D18*Inputs!$L$33</f>
        <v>0</v>
      </c>
      <c r="E19" s="59">
        <f>-E18*Inputs!$L$33</f>
        <v>0</v>
      </c>
      <c r="F19" s="59">
        <f>-F18*Inputs!$L$33</f>
        <v>0</v>
      </c>
      <c r="G19" s="59">
        <f>-G18*Inputs!$L$33</f>
        <v>0</v>
      </c>
      <c r="H19" s="59">
        <f>-H18*Inputs!$L$33</f>
        <v>-4500000</v>
      </c>
      <c r="I19" s="59">
        <f>-I18*Inputs!$L$33</f>
        <v>-2700000</v>
      </c>
      <c r="J19" s="59">
        <f>-J18*Inputs!$L$33</f>
        <v>-2700000</v>
      </c>
      <c r="K19" s="59">
        <f>-K18*Inputs!$L$33</f>
        <v>-2700000</v>
      </c>
      <c r="L19" s="59">
        <f>-L18*Inputs!$L$33</f>
        <v>-2700000</v>
      </c>
      <c r="M19" s="59">
        <f>-M18*Inputs!$L$33</f>
        <v>-2700000</v>
      </c>
      <c r="N19" s="59">
        <f>-N18*Inputs!$L$33</f>
        <v>0</v>
      </c>
      <c r="O19" s="59">
        <f>-O18*Inputs!$L$33</f>
        <v>0</v>
      </c>
      <c r="P19" s="59">
        <f>-P18*Inputs!$L$33</f>
        <v>0</v>
      </c>
      <c r="Q19" s="59">
        <f>-Q18*Inputs!$L$33</f>
        <v>0</v>
      </c>
      <c r="R19" s="59">
        <f>-R18*Inputs!$L$33</f>
        <v>0</v>
      </c>
      <c r="S19" s="59">
        <f>-S18*Inputs!$L$33</f>
        <v>0</v>
      </c>
      <c r="T19" s="59">
        <f>-T18*Inputs!$L$33</f>
        <v>0</v>
      </c>
      <c r="U19" s="59">
        <f>-U18*Inputs!$L$33</f>
        <v>0</v>
      </c>
      <c r="V19" s="59">
        <f>-V18*Inputs!$L$33</f>
        <v>0</v>
      </c>
      <c r="W19" s="59">
        <f>-W18*Inputs!$L$33</f>
        <v>0</v>
      </c>
      <c r="X19" s="59">
        <f>-X18*Inputs!$L$33</f>
        <v>0</v>
      </c>
      <c r="Y19" s="59">
        <f>-Y18*Inputs!$L$33</f>
        <v>0</v>
      </c>
      <c r="Z19" s="59">
        <f>-Z18*Inputs!$L$33</f>
        <v>0</v>
      </c>
      <c r="AA19" s="59">
        <f>-AA18*Inputs!$L$33</f>
        <v>0</v>
      </c>
      <c r="AB19" s="59">
        <f>-AB18*Inputs!$L$33</f>
        <v>0</v>
      </c>
      <c r="AC19" s="59">
        <f>-AC18*Inputs!$L$33</f>
        <v>0</v>
      </c>
      <c r="AD19" s="59">
        <f>-AD18*Inputs!$L$33</f>
        <v>0</v>
      </c>
      <c r="AE19" s="59">
        <f>-AE18*Inputs!$L$33</f>
        <v>0</v>
      </c>
      <c r="AF19" s="59">
        <f>-AF18*Inputs!$L$33</f>
        <v>0</v>
      </c>
      <c r="AG19" s="59">
        <f>-AG18*Inputs!$L$33</f>
        <v>0</v>
      </c>
      <c r="AH19" s="59">
        <f>-AH18*Inputs!$L$33</f>
        <v>0</v>
      </c>
      <c r="AI19" s="59">
        <f>-AI18*Inputs!$L$33</f>
        <v>0</v>
      </c>
      <c r="AJ19" s="59">
        <f>-AJ18*Inputs!$L$33</f>
        <v>0</v>
      </c>
      <c r="AK19" s="59">
        <f>-AK18*Inputs!$L$33</f>
        <v>0</v>
      </c>
      <c r="AL19" s="59">
        <f>-AL18*Inputs!$L$33</f>
        <v>0</v>
      </c>
      <c r="AM19" s="59">
        <f>-AM18*Inputs!$L$33</f>
        <v>0</v>
      </c>
      <c r="AN19" s="59">
        <f>-AN18*Inputs!$L$33</f>
        <v>0</v>
      </c>
      <c r="AO19" s="59">
        <f>-AO18*Inputs!$L$33</f>
        <v>0</v>
      </c>
      <c r="AP19" s="59">
        <f>-AP18*Inputs!$L$33</f>
        <v>0</v>
      </c>
      <c r="AQ19" s="59">
        <f>-AQ18*Inputs!$L$33</f>
        <v>0</v>
      </c>
      <c r="AR19" s="59">
        <f>-AR18*Inputs!$L$33</f>
        <v>0</v>
      </c>
      <c r="AS19" s="59">
        <f>-AS18*Inputs!$L$33</f>
        <v>0</v>
      </c>
      <c r="AT19" s="59">
        <f>-AT18*Inputs!$L$33</f>
        <v>0</v>
      </c>
      <c r="AU19" s="59">
        <f>-AU18*Inputs!$L$33</f>
        <v>0</v>
      </c>
      <c r="AV19" s="59">
        <f>-AV18*Inputs!$L$33</f>
        <v>0</v>
      </c>
      <c r="AW19" s="59">
        <f>-AW18*Inputs!$L$33</f>
        <v>0</v>
      </c>
      <c r="AX19" s="59">
        <f>-AX18*Inputs!$L$33</f>
        <v>0</v>
      </c>
      <c r="AY19" s="59">
        <f>-AY18*Inputs!$L$33</f>
        <v>0</v>
      </c>
      <c r="AZ19" s="59">
        <f>-AZ18*Inputs!$L$33</f>
        <v>0</v>
      </c>
      <c r="BA19" s="59">
        <f>-BA18*Inputs!$L$33</f>
        <v>0</v>
      </c>
      <c r="BB19" s="59">
        <f>-BB18*Inputs!$L$33</f>
        <v>0</v>
      </c>
      <c r="BC19" s="59">
        <f>-BC18*Inputs!$L$33</f>
        <v>0</v>
      </c>
      <c r="BD19" s="59">
        <f>-BD18*Inputs!$L$33</f>
        <v>0</v>
      </c>
      <c r="BE19" s="59">
        <f>-BE18*Inputs!$L$33</f>
        <v>0</v>
      </c>
      <c r="BF19" s="59">
        <f>-BF18*Inputs!$L$33</f>
        <v>0</v>
      </c>
      <c r="BG19" s="59">
        <f>-BG18*Inputs!$L$33</f>
        <v>0</v>
      </c>
      <c r="BH19" s="59">
        <f>-BH18*Inputs!$L$33</f>
        <v>0</v>
      </c>
      <c r="BI19" s="59">
        <f>-BI18*Inputs!$L$33</f>
        <v>0</v>
      </c>
      <c r="BJ19" s="59">
        <f>-BJ18*Inputs!$L$33</f>
        <v>0</v>
      </c>
      <c r="BK19" s="59">
        <f>-BK18*Inputs!$L$33</f>
        <v>0</v>
      </c>
    </row>
    <row r="20" spans="1:63" s="5" customFormat="1">
      <c r="A20" s="11" t="s">
        <v>206</v>
      </c>
      <c r="B20" s="48">
        <f>SUM(C20:BK20)</f>
        <v>1</v>
      </c>
      <c r="C20" s="22">
        <f>IF(AND(C8&gt;=Inputs!$L$89,C8&lt;=Inputs!$L$93),1/Inputs!$K$13,0)</f>
        <v>0</v>
      </c>
      <c r="D20" s="22">
        <f>IF(AND(D8&gt;=Inputs!$L$89,D8&lt;=Inputs!$L$93),1/Inputs!$K$13,0)</f>
        <v>0</v>
      </c>
      <c r="E20" s="22">
        <f>IF(AND(E8&gt;=Inputs!$L$89,E8&lt;=Inputs!$L$93),1/Inputs!$K$13,0)</f>
        <v>0</v>
      </c>
      <c r="F20" s="22">
        <f>IF(AND(F8&gt;=Inputs!$L$89,F8&lt;=Inputs!$L$93),1/Inputs!$K$13,0)</f>
        <v>0</v>
      </c>
      <c r="G20" s="22">
        <f>IF(AND(G8&gt;=Inputs!$L$89,G8&lt;=Inputs!$L$93),1/Inputs!$K$13,0)</f>
        <v>8.3333333333333329E-2</v>
      </c>
      <c r="H20" s="22">
        <f>IF(AND(H8&gt;=Inputs!$L$89,H8&lt;=Inputs!$L$93),1/Inputs!$K$13,0)</f>
        <v>8.3333333333333329E-2</v>
      </c>
      <c r="I20" s="22">
        <f>IF(AND(I8&gt;=Inputs!$L$89,I8&lt;=Inputs!$L$93),1/Inputs!$K$13,0)</f>
        <v>8.3333333333333329E-2</v>
      </c>
      <c r="J20" s="22">
        <f>IF(AND(J8&gt;=Inputs!$L$89,J8&lt;=Inputs!$L$93),1/Inputs!$K$13,0)</f>
        <v>8.3333333333333329E-2</v>
      </c>
      <c r="K20" s="22">
        <f>IF(AND(K8&gt;=Inputs!$L$89,K8&lt;=Inputs!$L$93),1/Inputs!$K$13,0)</f>
        <v>8.3333333333333329E-2</v>
      </c>
      <c r="L20" s="22">
        <f>IF(AND(L8&gt;=Inputs!$L$89,L8&lt;=Inputs!$L$93),1/Inputs!$K$13,0)</f>
        <v>8.3333333333333329E-2</v>
      </c>
      <c r="M20" s="22">
        <f>IF(AND(M8&gt;=Inputs!$L$89,M8&lt;=Inputs!$L$93),1/Inputs!$K$13,0)</f>
        <v>8.3333333333333329E-2</v>
      </c>
      <c r="N20" s="22">
        <f>IF(AND(N8&gt;=Inputs!$L$89,N8&lt;=Inputs!$L$93),1/Inputs!$K$13,0)</f>
        <v>8.3333333333333329E-2</v>
      </c>
      <c r="O20" s="22">
        <f>IF(AND(O8&gt;=Inputs!$L$89,O8&lt;=Inputs!$L$93),1/Inputs!$K$13,0)</f>
        <v>8.3333333333333329E-2</v>
      </c>
      <c r="P20" s="22">
        <f>IF(AND(P8&gt;=Inputs!$L$89,P8&lt;=Inputs!$L$93),1/Inputs!$K$13,0)</f>
        <v>8.3333333333333329E-2</v>
      </c>
      <c r="Q20" s="22">
        <f>IF(AND(Q8&gt;=Inputs!$L$89,Q8&lt;=Inputs!$L$93),1/Inputs!$K$13,0)</f>
        <v>8.3333333333333329E-2</v>
      </c>
      <c r="R20" s="22">
        <f>IF(AND(R8&gt;=Inputs!$L$89,R8&lt;=Inputs!$L$93),1/Inputs!$K$13,0)</f>
        <v>8.3333333333333329E-2</v>
      </c>
      <c r="S20" s="22">
        <f>IF(AND(S8&gt;=Inputs!$L$89,S8&lt;=Inputs!$L$93),1/Inputs!$K$13,0)</f>
        <v>0</v>
      </c>
      <c r="T20" s="22">
        <f>IF(AND(T8&gt;=Inputs!$L$89,T8&lt;=Inputs!$L$93),1/Inputs!$K$13,0)</f>
        <v>0</v>
      </c>
      <c r="U20" s="22">
        <f>IF(AND(U8&gt;=Inputs!$L$89,U8&lt;=Inputs!$L$93),1/Inputs!$K$13,0)</f>
        <v>0</v>
      </c>
      <c r="V20" s="22">
        <f>IF(AND(V8&gt;=Inputs!$L$89,V8&lt;=Inputs!$L$93),1/Inputs!$K$13,0)</f>
        <v>0</v>
      </c>
      <c r="W20" s="22">
        <f>IF(AND(W8&gt;=Inputs!$L$89,W8&lt;=Inputs!$L$93),1/Inputs!$K$13,0)</f>
        <v>0</v>
      </c>
      <c r="X20" s="22">
        <f>IF(AND(X8&gt;=Inputs!$L$89,X8&lt;=Inputs!$L$93),1/Inputs!$K$13,0)</f>
        <v>0</v>
      </c>
      <c r="Y20" s="22">
        <f>IF(AND(Y8&gt;=Inputs!$L$89,Y8&lt;=Inputs!$L$93),1/Inputs!$K$13,0)</f>
        <v>0</v>
      </c>
      <c r="Z20" s="22">
        <f>IF(AND(Z8&gt;=Inputs!$L$89,Z8&lt;=Inputs!$L$93),1/Inputs!$K$13,0)</f>
        <v>0</v>
      </c>
      <c r="AA20" s="22">
        <f>IF(AND(AA8&gt;=Inputs!$L$89,AA8&lt;=Inputs!$L$93),1/Inputs!$K$13,0)</f>
        <v>0</v>
      </c>
      <c r="AB20" s="22">
        <f>IF(AND(AB8&gt;=Inputs!$L$89,AB8&lt;=Inputs!$L$93),1/Inputs!$K$13,0)</f>
        <v>0</v>
      </c>
      <c r="AC20" s="22">
        <f>IF(AND(AC8&gt;=Inputs!$L$89,AC8&lt;=Inputs!$L$93),1/Inputs!$K$13,0)</f>
        <v>0</v>
      </c>
      <c r="AD20" s="22">
        <f>IF(AND(AD8&gt;=Inputs!$L$89,AD8&lt;=Inputs!$L$93),1/Inputs!$K$13,0)</f>
        <v>0</v>
      </c>
      <c r="AE20" s="22">
        <f>IF(AND(AE8&gt;=Inputs!$L$89,AE8&lt;=Inputs!$L$93),1/Inputs!$K$13,0)</f>
        <v>0</v>
      </c>
      <c r="AF20" s="22">
        <f>IF(AND(AF8&gt;=Inputs!$L$89,AF8&lt;=Inputs!$L$93),1/Inputs!$K$13,0)</f>
        <v>0</v>
      </c>
      <c r="AG20" s="22">
        <f>IF(AND(AG8&gt;=Inputs!$L$89,AG8&lt;=Inputs!$L$93),1/Inputs!$K$13,0)</f>
        <v>0</v>
      </c>
      <c r="AH20" s="22">
        <f>IF(AND(AH8&gt;=Inputs!$L$89,AH8&lt;=Inputs!$L$93),1/Inputs!$K$13,0)</f>
        <v>0</v>
      </c>
      <c r="AI20" s="22">
        <f>IF(AND(AI8&gt;=Inputs!$L$89,AI8&lt;=Inputs!$L$93),1/Inputs!$K$13,0)</f>
        <v>0</v>
      </c>
      <c r="AJ20" s="22">
        <f>IF(AND(AJ8&gt;=Inputs!$L$89,AJ8&lt;=Inputs!$L$93),1/Inputs!$K$13,0)</f>
        <v>0</v>
      </c>
      <c r="AK20" s="22">
        <f>IF(AND(AK8&gt;=Inputs!$L$89,AK8&lt;=Inputs!$L$93),1/Inputs!$K$13,0)</f>
        <v>0</v>
      </c>
      <c r="AL20" s="22">
        <f>IF(AND(AL8&gt;=Inputs!$L$89,AL8&lt;=Inputs!$L$93),1/Inputs!$K$13,0)</f>
        <v>0</v>
      </c>
      <c r="AM20" s="22">
        <f>IF(AND(AM8&gt;=Inputs!$L$89,AM8&lt;=Inputs!$L$93),1/Inputs!$K$13,0)</f>
        <v>0</v>
      </c>
      <c r="AN20" s="22">
        <f>IF(AND(AN8&gt;=Inputs!$L$89,AN8&lt;=Inputs!$L$93),1/Inputs!$K$13,0)</f>
        <v>0</v>
      </c>
      <c r="AO20" s="22">
        <f>IF(AND(AO8&gt;=Inputs!$L$89,AO8&lt;=Inputs!$L$93),1/Inputs!$K$13,0)</f>
        <v>0</v>
      </c>
      <c r="AP20" s="22">
        <f>IF(AND(AP8&gt;=Inputs!$L$89,AP8&lt;=Inputs!$L$93),1/Inputs!$K$13,0)</f>
        <v>0</v>
      </c>
      <c r="AQ20" s="22">
        <f>IF(AND(AQ8&gt;=Inputs!$L$89,AQ8&lt;=Inputs!$L$93),1/Inputs!$K$13,0)</f>
        <v>0</v>
      </c>
      <c r="AR20" s="22">
        <f>IF(AND(AR8&gt;=Inputs!$L$89,AR8&lt;=Inputs!$L$93),1/Inputs!$K$13,0)</f>
        <v>0</v>
      </c>
      <c r="AS20" s="22">
        <f>IF(AND(AS8&gt;=Inputs!$L$89,AS8&lt;=Inputs!$L$93),1/Inputs!$K$13,0)</f>
        <v>0</v>
      </c>
      <c r="AT20" s="22">
        <f>IF(AND(AT8&gt;=Inputs!$L$89,AT8&lt;=Inputs!$L$93),1/Inputs!$K$13,0)</f>
        <v>0</v>
      </c>
      <c r="AU20" s="22">
        <f>IF(AND(AU8&gt;=Inputs!$L$89,AU8&lt;=Inputs!$L$93),1/Inputs!$K$13,0)</f>
        <v>0</v>
      </c>
      <c r="AV20" s="22">
        <f>IF(AND(AV8&gt;=Inputs!$L$89,AV8&lt;=Inputs!$L$93),1/Inputs!$K$13,0)</f>
        <v>0</v>
      </c>
      <c r="AW20" s="22">
        <f>IF(AND(AW8&gt;=Inputs!$L$89,AW8&lt;=Inputs!$L$93),1/Inputs!$K$13,0)</f>
        <v>0</v>
      </c>
      <c r="AX20" s="22">
        <f>IF(AND(AX8&gt;=Inputs!$L$89,AX8&lt;=Inputs!$L$93),1/Inputs!$K$13,0)</f>
        <v>0</v>
      </c>
      <c r="AY20" s="22">
        <f>IF(AND(AY8&gt;=Inputs!$L$89,AY8&lt;=Inputs!$L$93),1/Inputs!$K$13,0)</f>
        <v>0</v>
      </c>
      <c r="AZ20" s="22">
        <f>IF(AND(AZ8&gt;=Inputs!$L$89,AZ8&lt;=Inputs!$L$93),1/Inputs!$K$13,0)</f>
        <v>0</v>
      </c>
      <c r="BA20" s="22">
        <f>IF(AND(BA8&gt;=Inputs!$L$89,BA8&lt;=Inputs!$L$93),1/Inputs!$K$13,0)</f>
        <v>0</v>
      </c>
      <c r="BB20" s="22">
        <f>IF(AND(BB8&gt;=Inputs!$L$89,BB8&lt;=Inputs!$L$93),1/Inputs!$K$13,0)</f>
        <v>0</v>
      </c>
      <c r="BC20" s="22">
        <f>IF(AND(BC8&gt;=Inputs!$L$89,BC8&lt;=Inputs!$L$93),1/Inputs!$K$13,0)</f>
        <v>0</v>
      </c>
      <c r="BD20" s="22">
        <f>IF(AND(BD8&gt;=Inputs!$L$89,BD8&lt;=Inputs!$L$93),1/Inputs!$K$13,0)</f>
        <v>0</v>
      </c>
      <c r="BE20" s="22">
        <f>IF(AND(BE8&gt;=Inputs!$L$89,BE8&lt;=Inputs!$L$93),1/Inputs!$K$13,0)</f>
        <v>0</v>
      </c>
      <c r="BF20" s="22">
        <f>IF(AND(BF8&gt;=Inputs!$L$89,BF8&lt;=Inputs!$L$93),1/Inputs!$K$13,0)</f>
        <v>0</v>
      </c>
      <c r="BG20" s="22">
        <f>IF(AND(BG8&gt;=Inputs!$L$89,BG8&lt;=Inputs!$L$93),1/Inputs!$K$13,0)</f>
        <v>0</v>
      </c>
      <c r="BH20" s="22">
        <f>IF(AND(BH8&gt;=Inputs!$L$89,BH8&lt;=Inputs!$L$93),1/Inputs!$K$13,0)</f>
        <v>0</v>
      </c>
      <c r="BI20" s="22">
        <f>IF(AND(BI8&gt;=Inputs!$L$89,BI8&lt;=Inputs!$L$93),1/Inputs!$K$13,0)</f>
        <v>0</v>
      </c>
      <c r="BJ20" s="22">
        <f>IF(AND(BJ8&gt;=Inputs!$L$89,BJ8&lt;=Inputs!$L$93),1/Inputs!$K$13,0)</f>
        <v>0</v>
      </c>
      <c r="BK20" s="22">
        <f>IF(AND(BK8&gt;=Inputs!$L$89,BK8&lt;=Inputs!$L$93),1/Inputs!$K$13,0)</f>
        <v>0</v>
      </c>
    </row>
    <row r="21" spans="1:63" s="5" customFormat="1">
      <c r="A21" s="11" t="s">
        <v>207</v>
      </c>
      <c r="B21" s="49"/>
      <c r="C21" s="21">
        <f>-C20*Inputs!$L$34</f>
        <v>0</v>
      </c>
      <c r="D21" s="21">
        <f>-D20*Inputs!$L$34</f>
        <v>0</v>
      </c>
      <c r="E21" s="21">
        <f>-E20*Inputs!$L$34</f>
        <v>0</v>
      </c>
      <c r="F21" s="21">
        <f>-F20*Inputs!$L$34</f>
        <v>0</v>
      </c>
      <c r="G21" s="21">
        <f>-G20*Inputs!$L$34</f>
        <v>-1500000</v>
      </c>
      <c r="H21" s="21">
        <f>-H20*Inputs!$L$34</f>
        <v>-1500000</v>
      </c>
      <c r="I21" s="21">
        <f>-I20*Inputs!$L$34</f>
        <v>-1500000</v>
      </c>
      <c r="J21" s="21">
        <f>-J20*Inputs!$L$34</f>
        <v>-1500000</v>
      </c>
      <c r="K21" s="21">
        <f>-K20*Inputs!$L$34</f>
        <v>-1500000</v>
      </c>
      <c r="L21" s="21">
        <f>-L20*Inputs!$L$34</f>
        <v>-1500000</v>
      </c>
      <c r="M21" s="21">
        <f>-M20*Inputs!$L$34</f>
        <v>-1500000</v>
      </c>
      <c r="N21" s="21">
        <f>-N20*Inputs!$L$34</f>
        <v>-1500000</v>
      </c>
      <c r="O21" s="21">
        <f>-O20*Inputs!$L$34</f>
        <v>-1500000</v>
      </c>
      <c r="P21" s="21">
        <f>-P20*Inputs!$L$34</f>
        <v>-1500000</v>
      </c>
      <c r="Q21" s="21">
        <f>-Q20*Inputs!$L$34</f>
        <v>-1500000</v>
      </c>
      <c r="R21" s="21">
        <f>-R20*Inputs!$L$34</f>
        <v>-1500000</v>
      </c>
      <c r="S21" s="21">
        <f>-S20*Inputs!$L$34</f>
        <v>0</v>
      </c>
      <c r="T21" s="21">
        <f>-T20*Inputs!$L$34</f>
        <v>0</v>
      </c>
      <c r="U21" s="21">
        <f>-U20*Inputs!$L$34</f>
        <v>0</v>
      </c>
      <c r="V21" s="21">
        <f>-V20*Inputs!$L$34</f>
        <v>0</v>
      </c>
      <c r="W21" s="21">
        <f>-W20*Inputs!$L$34</f>
        <v>0</v>
      </c>
      <c r="X21" s="21">
        <f>-X20*Inputs!$L$34</f>
        <v>0</v>
      </c>
      <c r="Y21" s="21">
        <f>-Y20*Inputs!$L$34</f>
        <v>0</v>
      </c>
      <c r="Z21" s="21">
        <f>-Z20*Inputs!$L$34</f>
        <v>0</v>
      </c>
      <c r="AA21" s="21">
        <f>-AA20*Inputs!$L$34</f>
        <v>0</v>
      </c>
      <c r="AB21" s="21">
        <f>-AB20*Inputs!$L$34</f>
        <v>0</v>
      </c>
      <c r="AC21" s="21">
        <f>-AC20*Inputs!$L$34</f>
        <v>0</v>
      </c>
      <c r="AD21" s="21">
        <f>-AD20*Inputs!$L$34</f>
        <v>0</v>
      </c>
      <c r="AE21" s="21">
        <f>-AE20*Inputs!$L$34</f>
        <v>0</v>
      </c>
      <c r="AF21" s="21">
        <f>-AF20*Inputs!$L$34</f>
        <v>0</v>
      </c>
      <c r="AG21" s="21">
        <f>-AG20*Inputs!$L$34</f>
        <v>0</v>
      </c>
      <c r="AH21" s="21">
        <f>-AH20*Inputs!$L$34</f>
        <v>0</v>
      </c>
      <c r="AI21" s="21">
        <f>-AI20*Inputs!$L$34</f>
        <v>0</v>
      </c>
      <c r="AJ21" s="21">
        <f>-AJ20*Inputs!$L$34</f>
        <v>0</v>
      </c>
      <c r="AK21" s="21">
        <f>-AK20*Inputs!$L$34</f>
        <v>0</v>
      </c>
      <c r="AL21" s="21">
        <f>-AL20*Inputs!$L$34</f>
        <v>0</v>
      </c>
      <c r="AM21" s="21">
        <f>-AM20*Inputs!$L$34</f>
        <v>0</v>
      </c>
      <c r="AN21" s="21">
        <f>-AN20*Inputs!$L$34</f>
        <v>0</v>
      </c>
      <c r="AO21" s="21">
        <f>-AO20*Inputs!$L$34</f>
        <v>0</v>
      </c>
      <c r="AP21" s="21">
        <f>-AP20*Inputs!$L$34</f>
        <v>0</v>
      </c>
      <c r="AQ21" s="21">
        <f>-AQ20*Inputs!$L$34</f>
        <v>0</v>
      </c>
      <c r="AR21" s="21">
        <f>-AR20*Inputs!$L$34</f>
        <v>0</v>
      </c>
      <c r="AS21" s="21">
        <f>-AS20*Inputs!$L$34</f>
        <v>0</v>
      </c>
      <c r="AT21" s="21">
        <f>-AT20*Inputs!$L$34</f>
        <v>0</v>
      </c>
      <c r="AU21" s="21">
        <f>-AU20*Inputs!$L$34</f>
        <v>0</v>
      </c>
      <c r="AV21" s="21">
        <f>-AV20*Inputs!$L$34</f>
        <v>0</v>
      </c>
      <c r="AW21" s="21">
        <f>-AW20*Inputs!$L$34</f>
        <v>0</v>
      </c>
      <c r="AX21" s="21">
        <f>-AX20*Inputs!$L$34</f>
        <v>0</v>
      </c>
      <c r="AY21" s="21">
        <f>-AY20*Inputs!$L$34</f>
        <v>0</v>
      </c>
      <c r="AZ21" s="21">
        <f>-AZ20*Inputs!$L$34</f>
        <v>0</v>
      </c>
      <c r="BA21" s="21">
        <f>-BA20*Inputs!$L$34</f>
        <v>0</v>
      </c>
      <c r="BB21" s="21">
        <f>-BB20*Inputs!$L$34</f>
        <v>0</v>
      </c>
      <c r="BC21" s="21">
        <f>-BC20*Inputs!$L$34</f>
        <v>0</v>
      </c>
      <c r="BD21" s="21">
        <f>-BD20*Inputs!$L$34</f>
        <v>0</v>
      </c>
      <c r="BE21" s="21">
        <f>-BE20*Inputs!$L$34</f>
        <v>0</v>
      </c>
      <c r="BF21" s="21">
        <f>-BF20*Inputs!$L$34</f>
        <v>0</v>
      </c>
      <c r="BG21" s="21">
        <f>-BG20*Inputs!$L$34</f>
        <v>0</v>
      </c>
      <c r="BH21" s="21">
        <f>-BH20*Inputs!$L$34</f>
        <v>0</v>
      </c>
      <c r="BI21" s="21">
        <f>-BI20*Inputs!$L$34</f>
        <v>0</v>
      </c>
      <c r="BJ21" s="21">
        <f>-BJ20*Inputs!$L$34</f>
        <v>0</v>
      </c>
      <c r="BK21" s="21">
        <f>-BK20*Inputs!$L$34</f>
        <v>0</v>
      </c>
    </row>
    <row r="22" spans="1:63" s="5" customFormat="1">
      <c r="A22" s="8" t="s">
        <v>208</v>
      </c>
      <c r="B22" s="23">
        <f>SUM(C22:BK22)</f>
        <v>-36000000</v>
      </c>
      <c r="C22" s="23">
        <f>SUM(C21,C19)</f>
        <v>0</v>
      </c>
      <c r="D22" s="23">
        <f t="shared" ref="D22:BK22" si="7">SUM(D21,D19)</f>
        <v>0</v>
      </c>
      <c r="E22" s="23">
        <f t="shared" si="7"/>
        <v>0</v>
      </c>
      <c r="F22" s="23">
        <f t="shared" si="7"/>
        <v>0</v>
      </c>
      <c r="G22" s="23">
        <f t="shared" si="7"/>
        <v>-1500000</v>
      </c>
      <c r="H22" s="23">
        <f t="shared" si="7"/>
        <v>-6000000</v>
      </c>
      <c r="I22" s="23">
        <f t="shared" si="7"/>
        <v>-4200000</v>
      </c>
      <c r="J22" s="23">
        <f t="shared" si="7"/>
        <v>-4200000</v>
      </c>
      <c r="K22" s="23">
        <f t="shared" si="7"/>
        <v>-4200000</v>
      </c>
      <c r="L22" s="23">
        <f t="shared" si="7"/>
        <v>-4200000</v>
      </c>
      <c r="M22" s="23">
        <f t="shared" si="7"/>
        <v>-4200000</v>
      </c>
      <c r="N22" s="23">
        <f t="shared" si="7"/>
        <v>-1500000</v>
      </c>
      <c r="O22" s="23">
        <f t="shared" si="7"/>
        <v>-1500000</v>
      </c>
      <c r="P22" s="23">
        <f t="shared" si="7"/>
        <v>-1500000</v>
      </c>
      <c r="Q22" s="23">
        <f t="shared" si="7"/>
        <v>-1500000</v>
      </c>
      <c r="R22" s="23">
        <f t="shared" si="7"/>
        <v>-1500000</v>
      </c>
      <c r="S22" s="23">
        <f t="shared" si="7"/>
        <v>0</v>
      </c>
      <c r="T22" s="23">
        <f t="shared" si="7"/>
        <v>0</v>
      </c>
      <c r="U22" s="23">
        <f t="shared" si="7"/>
        <v>0</v>
      </c>
      <c r="V22" s="23">
        <f t="shared" si="7"/>
        <v>0</v>
      </c>
      <c r="W22" s="23">
        <f t="shared" si="7"/>
        <v>0</v>
      </c>
      <c r="X22" s="23">
        <f t="shared" si="7"/>
        <v>0</v>
      </c>
      <c r="Y22" s="23">
        <f t="shared" si="7"/>
        <v>0</v>
      </c>
      <c r="Z22" s="23">
        <f t="shared" si="7"/>
        <v>0</v>
      </c>
      <c r="AA22" s="23">
        <f t="shared" si="7"/>
        <v>0</v>
      </c>
      <c r="AB22" s="23">
        <f t="shared" si="7"/>
        <v>0</v>
      </c>
      <c r="AC22" s="23">
        <f t="shared" si="7"/>
        <v>0</v>
      </c>
      <c r="AD22" s="23">
        <f t="shared" si="7"/>
        <v>0</v>
      </c>
      <c r="AE22" s="23">
        <f t="shared" si="7"/>
        <v>0</v>
      </c>
      <c r="AF22" s="23">
        <f t="shared" si="7"/>
        <v>0</v>
      </c>
      <c r="AG22" s="23">
        <f t="shared" si="7"/>
        <v>0</v>
      </c>
      <c r="AH22" s="23">
        <f t="shared" si="7"/>
        <v>0</v>
      </c>
      <c r="AI22" s="23">
        <f t="shared" si="7"/>
        <v>0</v>
      </c>
      <c r="AJ22" s="23">
        <f t="shared" si="7"/>
        <v>0</v>
      </c>
      <c r="AK22" s="23">
        <f t="shared" si="7"/>
        <v>0</v>
      </c>
      <c r="AL22" s="23">
        <f t="shared" si="7"/>
        <v>0</v>
      </c>
      <c r="AM22" s="23">
        <f t="shared" si="7"/>
        <v>0</v>
      </c>
      <c r="AN22" s="23">
        <f t="shared" si="7"/>
        <v>0</v>
      </c>
      <c r="AO22" s="23">
        <f t="shared" si="7"/>
        <v>0</v>
      </c>
      <c r="AP22" s="23">
        <f t="shared" si="7"/>
        <v>0</v>
      </c>
      <c r="AQ22" s="23">
        <f t="shared" si="7"/>
        <v>0</v>
      </c>
      <c r="AR22" s="23">
        <f t="shared" si="7"/>
        <v>0</v>
      </c>
      <c r="AS22" s="23">
        <f t="shared" si="7"/>
        <v>0</v>
      </c>
      <c r="AT22" s="23">
        <f t="shared" si="7"/>
        <v>0</v>
      </c>
      <c r="AU22" s="23">
        <f t="shared" si="7"/>
        <v>0</v>
      </c>
      <c r="AV22" s="23">
        <f t="shared" si="7"/>
        <v>0</v>
      </c>
      <c r="AW22" s="23">
        <f t="shared" si="7"/>
        <v>0</v>
      </c>
      <c r="AX22" s="23">
        <f t="shared" si="7"/>
        <v>0</v>
      </c>
      <c r="AY22" s="23">
        <f t="shared" si="7"/>
        <v>0</v>
      </c>
      <c r="AZ22" s="23">
        <f t="shared" si="7"/>
        <v>0</v>
      </c>
      <c r="BA22" s="23">
        <f t="shared" si="7"/>
        <v>0</v>
      </c>
      <c r="BB22" s="23">
        <f t="shared" si="7"/>
        <v>0</v>
      </c>
      <c r="BC22" s="23">
        <f t="shared" si="7"/>
        <v>0</v>
      </c>
      <c r="BD22" s="23">
        <f t="shared" si="7"/>
        <v>0</v>
      </c>
      <c r="BE22" s="23">
        <f t="shared" si="7"/>
        <v>0</v>
      </c>
      <c r="BF22" s="23">
        <f t="shared" si="7"/>
        <v>0</v>
      </c>
      <c r="BG22" s="23">
        <f t="shared" si="7"/>
        <v>0</v>
      </c>
      <c r="BH22" s="23">
        <f t="shared" si="7"/>
        <v>0</v>
      </c>
      <c r="BI22" s="23">
        <f t="shared" si="7"/>
        <v>0</v>
      </c>
      <c r="BJ22" s="23">
        <f t="shared" si="7"/>
        <v>0</v>
      </c>
      <c r="BK22" s="23">
        <f t="shared" si="7"/>
        <v>0</v>
      </c>
    </row>
    <row r="23" spans="1:63">
      <c r="A23" s="12"/>
      <c r="B23" s="24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</row>
    <row r="24" spans="1:63" s="5" customFormat="1">
      <c r="A24" s="5" t="s">
        <v>209</v>
      </c>
      <c r="B24" s="25">
        <f>-Inputs!L46</f>
        <v>-3950000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</row>
    <row r="25" spans="1:63" s="5" customFormat="1">
      <c r="A25" s="11" t="s">
        <v>210</v>
      </c>
      <c r="B25" s="48">
        <f>SUM(C25:BK25)</f>
        <v>1</v>
      </c>
      <c r="C25" s="22">
        <f>IF(AND(C8&gt;=Inputs!$L$87,C8&lt;=Inputs!$L$93),1/(Inputs!$L$93-Inputs!$L$87+1),0)</f>
        <v>6.25E-2</v>
      </c>
      <c r="D25" s="22">
        <f>IF(AND(D8&gt;=Inputs!$L$87,D8&lt;=Inputs!$L$93),1/(Inputs!$L$93-Inputs!$L$87+1),0)</f>
        <v>6.25E-2</v>
      </c>
      <c r="E25" s="22">
        <f>IF(AND(E8&gt;=Inputs!$L$87,E8&lt;=Inputs!$L$93),1/(Inputs!$L$93-Inputs!$L$87+1),0)</f>
        <v>6.25E-2</v>
      </c>
      <c r="F25" s="22">
        <f>IF(AND(F8&gt;=Inputs!$L$87,F8&lt;=Inputs!$L$93),1/(Inputs!$L$93-Inputs!$L$87+1),0)</f>
        <v>6.25E-2</v>
      </c>
      <c r="G25" s="22">
        <f>IF(AND(G8&gt;=Inputs!$L$87,G8&lt;=Inputs!$L$93),1/(Inputs!$L$93-Inputs!$L$87+1),0)</f>
        <v>6.25E-2</v>
      </c>
      <c r="H25" s="22">
        <f>IF(AND(H8&gt;=Inputs!$L$87,H8&lt;=Inputs!$L$93),1/(Inputs!$L$93-Inputs!$L$87+1),0)</f>
        <v>6.25E-2</v>
      </c>
      <c r="I25" s="22">
        <f>IF(AND(I8&gt;=Inputs!$L$87,I8&lt;=Inputs!$L$93),1/(Inputs!$L$93-Inputs!$L$87+1),0)</f>
        <v>6.25E-2</v>
      </c>
      <c r="J25" s="22">
        <f>IF(AND(J8&gt;=Inputs!$L$87,J8&lt;=Inputs!$L$93),1/(Inputs!$L$93-Inputs!$L$87+1),0)</f>
        <v>6.25E-2</v>
      </c>
      <c r="K25" s="22">
        <f>IF(AND(K8&gt;=Inputs!$L$87,K8&lt;=Inputs!$L$93),1/(Inputs!$L$93-Inputs!$L$87+1),0)</f>
        <v>6.25E-2</v>
      </c>
      <c r="L25" s="22">
        <f>IF(AND(L8&gt;=Inputs!$L$87,L8&lt;=Inputs!$L$93),1/(Inputs!$L$93-Inputs!$L$87+1),0)</f>
        <v>6.25E-2</v>
      </c>
      <c r="M25" s="22">
        <f>IF(AND(M8&gt;=Inputs!$L$87,M8&lt;=Inputs!$L$93),1/(Inputs!$L$93-Inputs!$L$87+1),0)</f>
        <v>6.25E-2</v>
      </c>
      <c r="N25" s="22">
        <f>IF(AND(N8&gt;=Inputs!$L$87,N8&lt;=Inputs!$L$93),1/(Inputs!$L$93-Inputs!$L$87+1),0)</f>
        <v>6.25E-2</v>
      </c>
      <c r="O25" s="22">
        <f>IF(AND(O8&gt;=Inputs!$L$87,O8&lt;=Inputs!$L$93),1/(Inputs!$L$93-Inputs!$L$87+1),0)</f>
        <v>6.25E-2</v>
      </c>
      <c r="P25" s="22">
        <f>IF(AND(P8&gt;=Inputs!$L$87,P8&lt;=Inputs!$L$93),1/(Inputs!$L$93-Inputs!$L$87+1),0)</f>
        <v>6.25E-2</v>
      </c>
      <c r="Q25" s="22">
        <f>IF(AND(Q8&gt;=Inputs!$L$87,Q8&lt;=Inputs!$L$93),1/(Inputs!$L$93-Inputs!$L$87+1),0)</f>
        <v>6.25E-2</v>
      </c>
      <c r="R25" s="22">
        <f>IF(AND(R8&gt;=Inputs!$L$87,R8&lt;=Inputs!$L$93),1/(Inputs!$L$93-Inputs!$L$87+1),0)</f>
        <v>6.25E-2</v>
      </c>
      <c r="S25" s="22">
        <f>IF(AND(S8&gt;=Inputs!$L$87,S8&lt;=Inputs!$L$93),1/(Inputs!$L$93-Inputs!$L$87+1),0)</f>
        <v>0</v>
      </c>
      <c r="T25" s="22">
        <f>IF(AND(T8&gt;=Inputs!$L$87,T8&lt;=Inputs!$L$93),1/(Inputs!$L$93-Inputs!$L$87+1),0)</f>
        <v>0</v>
      </c>
      <c r="U25" s="22">
        <f>IF(AND(U8&gt;=Inputs!$L$87,U8&lt;=Inputs!$L$93),1/(Inputs!$L$93-Inputs!$L$87+1),0)</f>
        <v>0</v>
      </c>
      <c r="V25" s="22">
        <f>IF(AND(V8&gt;=Inputs!$L$87,V8&lt;=Inputs!$L$93),1/(Inputs!$L$93-Inputs!$L$87+1),0)</f>
        <v>0</v>
      </c>
      <c r="W25" s="22">
        <f>IF(AND(W8&gt;=Inputs!$L$87,W8&lt;=Inputs!$L$93),1/(Inputs!$L$93-Inputs!$L$87+1),0)</f>
        <v>0</v>
      </c>
      <c r="X25" s="22">
        <f>IF(AND(X8&gt;=Inputs!$L$87,X8&lt;=Inputs!$L$93),1/(Inputs!$L$93-Inputs!$L$87+1),0)</f>
        <v>0</v>
      </c>
      <c r="Y25" s="22">
        <f>IF(AND(Y8&gt;=Inputs!$L$87,Y8&lt;=Inputs!$L$93),1/(Inputs!$L$93-Inputs!$L$87+1),0)</f>
        <v>0</v>
      </c>
      <c r="Z25" s="22">
        <f>IF(AND(Z8&gt;=Inputs!$L$87,Z8&lt;=Inputs!$L$93),1/(Inputs!$L$93-Inputs!$L$87+1),0)</f>
        <v>0</v>
      </c>
      <c r="AA25" s="22">
        <f>IF(AND(AA8&gt;=Inputs!$L$87,AA8&lt;=Inputs!$L$93),1/(Inputs!$L$93-Inputs!$L$87+1),0)</f>
        <v>0</v>
      </c>
      <c r="AB25" s="22">
        <f>IF(AND(AB8&gt;=Inputs!$L$87,AB8&lt;=Inputs!$L$93),1/(Inputs!$L$93-Inputs!$L$87+1),0)</f>
        <v>0</v>
      </c>
      <c r="AC25" s="22">
        <f>IF(AND(AC8&gt;=Inputs!$L$87,AC8&lt;=Inputs!$L$93),1/(Inputs!$L$93-Inputs!$L$87+1),0)</f>
        <v>0</v>
      </c>
      <c r="AD25" s="22">
        <f>IF(AND(AD8&gt;=Inputs!$L$87,AD8&lt;=Inputs!$L$93),1/(Inputs!$L$93-Inputs!$L$87+1),0)</f>
        <v>0</v>
      </c>
      <c r="AE25" s="22">
        <f>IF(AND(AE8&gt;=Inputs!$L$87,AE8&lt;=Inputs!$L$93),1/(Inputs!$L$93-Inputs!$L$87+1),0)</f>
        <v>0</v>
      </c>
      <c r="AF25" s="22">
        <f>IF(AND(AF8&gt;=Inputs!$L$87,AF8&lt;=Inputs!$L$93),1/(Inputs!$L$93-Inputs!$L$87+1),0)</f>
        <v>0</v>
      </c>
      <c r="AG25" s="22">
        <f>IF(AND(AG8&gt;=Inputs!$L$87,AG8&lt;=Inputs!$L$93),1/(Inputs!$L$93-Inputs!$L$87+1),0)</f>
        <v>0</v>
      </c>
      <c r="AH25" s="22">
        <f>IF(AND(AH8&gt;=Inputs!$L$87,AH8&lt;=Inputs!$L$93),1/(Inputs!$L$93-Inputs!$L$87+1),0)</f>
        <v>0</v>
      </c>
      <c r="AI25" s="22">
        <f>IF(AND(AI8&gt;=Inputs!$L$87,AI8&lt;=Inputs!$L$93),1/(Inputs!$L$93-Inputs!$L$87+1),0)</f>
        <v>0</v>
      </c>
      <c r="AJ25" s="22">
        <f>IF(AND(AJ8&gt;=Inputs!$L$87,AJ8&lt;=Inputs!$L$93),1/(Inputs!$L$93-Inputs!$L$87+1),0)</f>
        <v>0</v>
      </c>
      <c r="AK25" s="22">
        <f>IF(AND(AK8&gt;=Inputs!$L$87,AK8&lt;=Inputs!$L$93),1/(Inputs!$L$93-Inputs!$L$87+1),0)</f>
        <v>0</v>
      </c>
      <c r="AL25" s="22">
        <f>IF(AND(AL8&gt;=Inputs!$L$87,AL8&lt;=Inputs!$L$93),1/(Inputs!$L$93-Inputs!$L$87+1),0)</f>
        <v>0</v>
      </c>
      <c r="AM25" s="22">
        <f>IF(AND(AM8&gt;=Inputs!$L$87,AM8&lt;=Inputs!$L$93),1/(Inputs!$L$93-Inputs!$L$87+1),0)</f>
        <v>0</v>
      </c>
      <c r="AN25" s="22">
        <f>IF(AND(AN8&gt;=Inputs!$L$87,AN8&lt;=Inputs!$L$93),1/(Inputs!$L$93-Inputs!$L$87+1),0)</f>
        <v>0</v>
      </c>
      <c r="AO25" s="22">
        <f>IF(AND(AO8&gt;=Inputs!$L$87,AO8&lt;=Inputs!$L$93),1/(Inputs!$L$93-Inputs!$L$87+1),0)</f>
        <v>0</v>
      </c>
      <c r="AP25" s="22">
        <f>IF(AND(AP8&gt;=Inputs!$L$87,AP8&lt;=Inputs!$L$93),1/(Inputs!$L$93-Inputs!$L$87+1),0)</f>
        <v>0</v>
      </c>
      <c r="AQ25" s="22">
        <f>IF(AND(AQ8&gt;=Inputs!$L$87,AQ8&lt;=Inputs!$L$93),1/(Inputs!$L$93-Inputs!$L$87+1),0)</f>
        <v>0</v>
      </c>
      <c r="AR25" s="22">
        <f>IF(AND(AR8&gt;=Inputs!$L$87,AR8&lt;=Inputs!$L$93),1/(Inputs!$L$93-Inputs!$L$87+1),0)</f>
        <v>0</v>
      </c>
      <c r="AS25" s="22">
        <f>IF(AND(AS8&gt;=Inputs!$L$87,AS8&lt;=Inputs!$L$93),1/(Inputs!$L$93-Inputs!$L$87+1),0)</f>
        <v>0</v>
      </c>
      <c r="AT25" s="22">
        <f>IF(AND(AT8&gt;=Inputs!$L$87,AT8&lt;=Inputs!$L$93),1/(Inputs!$L$93-Inputs!$L$87+1),0)</f>
        <v>0</v>
      </c>
      <c r="AU25" s="22">
        <f>IF(AND(AU8&gt;=Inputs!$L$87,AU8&lt;=Inputs!$L$93),1/(Inputs!$L$93-Inputs!$L$87+1),0)</f>
        <v>0</v>
      </c>
      <c r="AV25" s="22">
        <f>IF(AND(AV8&gt;=Inputs!$L$87,AV8&lt;=Inputs!$L$93),1/(Inputs!$L$93-Inputs!$L$87+1),0)</f>
        <v>0</v>
      </c>
      <c r="AW25" s="22">
        <f>IF(AND(AW8&gt;=Inputs!$L$87,AW8&lt;=Inputs!$L$93),1/(Inputs!$L$93-Inputs!$L$87+1),0)</f>
        <v>0</v>
      </c>
      <c r="AX25" s="22">
        <f>IF(AND(AX8&gt;=Inputs!$L$87,AX8&lt;=Inputs!$L$93),1/(Inputs!$L$93-Inputs!$L$87+1),0)</f>
        <v>0</v>
      </c>
      <c r="AY25" s="22">
        <f>IF(AND(AY8&gt;=Inputs!$L$87,AY8&lt;=Inputs!$L$93),1/(Inputs!$L$93-Inputs!$L$87+1),0)</f>
        <v>0</v>
      </c>
      <c r="AZ25" s="22">
        <f>IF(AND(AZ8&gt;=Inputs!$L$87,AZ8&lt;=Inputs!$L$93),1/(Inputs!$L$93-Inputs!$L$87+1),0)</f>
        <v>0</v>
      </c>
      <c r="BA25" s="22">
        <f>IF(AND(BA8&gt;=Inputs!$L$87,BA8&lt;=Inputs!$L$93),1/(Inputs!$L$93-Inputs!$L$87+1),0)</f>
        <v>0</v>
      </c>
      <c r="BB25" s="22">
        <f>IF(AND(BB8&gt;=Inputs!$L$87,BB8&lt;=Inputs!$L$93),1/(Inputs!$L$93-Inputs!$L$87+1),0)</f>
        <v>0</v>
      </c>
      <c r="BC25" s="22">
        <f>IF(AND(BC8&gt;=Inputs!$L$87,BC8&lt;=Inputs!$L$93),1/(Inputs!$L$93-Inputs!$L$87+1),0)</f>
        <v>0</v>
      </c>
      <c r="BD25" s="22">
        <f>IF(AND(BD8&gt;=Inputs!$L$87,BD8&lt;=Inputs!$L$93),1/(Inputs!$L$93-Inputs!$L$87+1),0)</f>
        <v>0</v>
      </c>
      <c r="BE25" s="22">
        <f>IF(AND(BE8&gt;=Inputs!$L$87,BE8&lt;=Inputs!$L$93),1/(Inputs!$L$93-Inputs!$L$87+1),0)</f>
        <v>0</v>
      </c>
      <c r="BF25" s="22">
        <f>IF(AND(BF8&gt;=Inputs!$L$87,BF8&lt;=Inputs!$L$93),1/(Inputs!$L$93-Inputs!$L$87+1),0)</f>
        <v>0</v>
      </c>
      <c r="BG25" s="22">
        <f>IF(AND(BG8&gt;=Inputs!$L$87,BG8&lt;=Inputs!$L$93),1/(Inputs!$L$93-Inputs!$L$87+1),0)</f>
        <v>0</v>
      </c>
      <c r="BH25" s="22">
        <f>IF(AND(BH8&gt;=Inputs!$L$87,BH8&lt;=Inputs!$L$93),1/(Inputs!$L$93-Inputs!$L$87+1),0)</f>
        <v>0</v>
      </c>
      <c r="BI25" s="22">
        <f>IF(AND(BI8&gt;=Inputs!$L$87,BI8&lt;=Inputs!$L$93),1/(Inputs!$L$93-Inputs!$L$87+1),0)</f>
        <v>0</v>
      </c>
      <c r="BJ25" s="22">
        <f>IF(AND(BJ8&gt;=Inputs!$L$87,BJ8&lt;=Inputs!$L$93),1/(Inputs!$L$93-Inputs!$L$87+1),0)</f>
        <v>0</v>
      </c>
      <c r="BK25" s="22">
        <f>IF(AND(BK8&gt;=Inputs!$L$87,BK8&lt;=Inputs!$L$93),1/(Inputs!$L$93-Inputs!$L$87+1),0)</f>
        <v>0</v>
      </c>
    </row>
    <row r="26" spans="1:63" s="5" customFormat="1">
      <c r="A26" s="13" t="s">
        <v>211</v>
      </c>
      <c r="B26" s="23">
        <f>SUM(C26:BK26)</f>
        <v>-3950000</v>
      </c>
      <c r="C26" s="26">
        <f>-C25*Inputs!$L$46</f>
        <v>-246875</v>
      </c>
      <c r="D26" s="26">
        <f>-D25*Inputs!$L$46</f>
        <v>-246875</v>
      </c>
      <c r="E26" s="26">
        <f>-E25*Inputs!$L$46</f>
        <v>-246875</v>
      </c>
      <c r="F26" s="26">
        <f>-F25*Inputs!$L$46</f>
        <v>-246875</v>
      </c>
      <c r="G26" s="26">
        <f>-G25*Inputs!$L$46</f>
        <v>-246875</v>
      </c>
      <c r="H26" s="26">
        <f>-H25*Inputs!$L$46</f>
        <v>-246875</v>
      </c>
      <c r="I26" s="26">
        <f>-I25*Inputs!$L$46</f>
        <v>-246875</v>
      </c>
      <c r="J26" s="26">
        <f>-J25*Inputs!$L$46</f>
        <v>-246875</v>
      </c>
      <c r="K26" s="26">
        <f>-K25*Inputs!$L$46</f>
        <v>-246875</v>
      </c>
      <c r="L26" s="26">
        <f>-L25*Inputs!$L$46</f>
        <v>-246875</v>
      </c>
      <c r="M26" s="26">
        <f>-M25*Inputs!$L$46</f>
        <v>-246875</v>
      </c>
      <c r="N26" s="26">
        <f>-N25*Inputs!$L$46</f>
        <v>-246875</v>
      </c>
      <c r="O26" s="26">
        <f>-O25*Inputs!$L$46</f>
        <v>-246875</v>
      </c>
      <c r="P26" s="26">
        <f>-P25*Inputs!$L$46</f>
        <v>-246875</v>
      </c>
      <c r="Q26" s="26">
        <f>-Q25*Inputs!$L$46</f>
        <v>-246875</v>
      </c>
      <c r="R26" s="26">
        <f>-R25*Inputs!$L$46</f>
        <v>-246875</v>
      </c>
      <c r="S26" s="26">
        <f>-S25*Inputs!$L$46</f>
        <v>0</v>
      </c>
      <c r="T26" s="26">
        <f>-T25*Inputs!$L$46</f>
        <v>0</v>
      </c>
      <c r="U26" s="26">
        <f>-U25*Inputs!$L$46</f>
        <v>0</v>
      </c>
      <c r="V26" s="26">
        <f>-V25*Inputs!$L$46</f>
        <v>0</v>
      </c>
      <c r="W26" s="26">
        <f>-W25*Inputs!$L$46</f>
        <v>0</v>
      </c>
      <c r="X26" s="26">
        <f>-X25*Inputs!$L$46</f>
        <v>0</v>
      </c>
      <c r="Y26" s="26">
        <f>-Y25*Inputs!$L$46</f>
        <v>0</v>
      </c>
      <c r="Z26" s="26">
        <f>-Z25*Inputs!$L$46</f>
        <v>0</v>
      </c>
      <c r="AA26" s="26">
        <f>-AA25*Inputs!$L$46</f>
        <v>0</v>
      </c>
      <c r="AB26" s="26">
        <f>-AB25*Inputs!$L$46</f>
        <v>0</v>
      </c>
      <c r="AC26" s="26">
        <f>-AC25*Inputs!$L$46</f>
        <v>0</v>
      </c>
      <c r="AD26" s="26">
        <f>-AD25*Inputs!$L$46</f>
        <v>0</v>
      </c>
      <c r="AE26" s="26">
        <f>-AE25*Inputs!$L$46</f>
        <v>0</v>
      </c>
      <c r="AF26" s="26">
        <f>-AF25*Inputs!$L$46</f>
        <v>0</v>
      </c>
      <c r="AG26" s="26">
        <f>-AG25*Inputs!$L$46</f>
        <v>0</v>
      </c>
      <c r="AH26" s="26">
        <f>-AH25*Inputs!$L$46</f>
        <v>0</v>
      </c>
      <c r="AI26" s="26">
        <f>-AI25*Inputs!$L$46</f>
        <v>0</v>
      </c>
      <c r="AJ26" s="26">
        <f>-AJ25*Inputs!$L$46</f>
        <v>0</v>
      </c>
      <c r="AK26" s="26">
        <f>-AK25*Inputs!$L$46</f>
        <v>0</v>
      </c>
      <c r="AL26" s="26">
        <f>-AL25*Inputs!$L$46</f>
        <v>0</v>
      </c>
      <c r="AM26" s="26">
        <f>-AM25*Inputs!$L$46</f>
        <v>0</v>
      </c>
      <c r="AN26" s="26">
        <f>-AN25*Inputs!$L$46</f>
        <v>0</v>
      </c>
      <c r="AO26" s="26">
        <f>-AO25*Inputs!$L$46</f>
        <v>0</v>
      </c>
      <c r="AP26" s="26">
        <f>-AP25*Inputs!$L$46</f>
        <v>0</v>
      </c>
      <c r="AQ26" s="26">
        <f>-AQ25*Inputs!$L$46</f>
        <v>0</v>
      </c>
      <c r="AR26" s="26">
        <f>-AR25*Inputs!$L$46</f>
        <v>0</v>
      </c>
      <c r="AS26" s="26">
        <f>-AS25*Inputs!$L$46</f>
        <v>0</v>
      </c>
      <c r="AT26" s="26">
        <f>-AT25*Inputs!$L$46</f>
        <v>0</v>
      </c>
      <c r="AU26" s="26">
        <f>-AU25*Inputs!$L$46</f>
        <v>0</v>
      </c>
      <c r="AV26" s="26">
        <f>-AV25*Inputs!$L$46</f>
        <v>0</v>
      </c>
      <c r="AW26" s="26">
        <f>-AW25*Inputs!$L$46</f>
        <v>0</v>
      </c>
      <c r="AX26" s="26">
        <f>-AX25*Inputs!$L$46</f>
        <v>0</v>
      </c>
      <c r="AY26" s="26">
        <f>-AY25*Inputs!$L$46</f>
        <v>0</v>
      </c>
      <c r="AZ26" s="26">
        <f>-AZ25*Inputs!$L$46</f>
        <v>0</v>
      </c>
      <c r="BA26" s="26">
        <f>-BA25*Inputs!$L$46</f>
        <v>0</v>
      </c>
      <c r="BB26" s="26">
        <f>-BB25*Inputs!$L$46</f>
        <v>0</v>
      </c>
      <c r="BC26" s="26">
        <f>-BC25*Inputs!$L$46</f>
        <v>0</v>
      </c>
      <c r="BD26" s="26">
        <f>-BD25*Inputs!$L$46</f>
        <v>0</v>
      </c>
      <c r="BE26" s="26">
        <f>-BE25*Inputs!$L$46</f>
        <v>0</v>
      </c>
      <c r="BF26" s="26">
        <f>-BF25*Inputs!$L$46</f>
        <v>0</v>
      </c>
      <c r="BG26" s="26">
        <f>-BG25*Inputs!$L$46</f>
        <v>0</v>
      </c>
      <c r="BH26" s="26">
        <f>-BH25*Inputs!$L$46</f>
        <v>0</v>
      </c>
      <c r="BI26" s="26">
        <f>-BI25*Inputs!$L$46</f>
        <v>0</v>
      </c>
      <c r="BJ26" s="26">
        <f>-BJ25*Inputs!$L$46</f>
        <v>0</v>
      </c>
      <c r="BK26" s="26">
        <f>-BK25*Inputs!$L$46</f>
        <v>0</v>
      </c>
    </row>
    <row r="27" spans="1:63" s="5" customFormat="1">
      <c r="A27" s="11"/>
      <c r="B27" s="25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</row>
    <row r="28" spans="1:63" s="5" customFormat="1">
      <c r="A28" s="5" t="s">
        <v>31</v>
      </c>
      <c r="B28" s="25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</row>
    <row r="29" spans="1:63" s="5" customFormat="1">
      <c r="A29" s="11" t="s">
        <v>160</v>
      </c>
      <c r="B29" s="49">
        <f ca="1">SUM(C29:XFD29)</f>
        <v>-283203.77114578336</v>
      </c>
      <c r="C29" s="15">
        <f ca="1">-Inputs!L50</f>
        <v>-283203.77132323792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</row>
    <row r="30" spans="1:63" s="98" customFormat="1">
      <c r="A30" s="11" t="s">
        <v>212</v>
      </c>
      <c r="B30" s="49">
        <f ca="1">SUM(C30:BK30)</f>
        <v>-1082598.3141501276</v>
      </c>
      <c r="C30" s="21">
        <f t="shared" ref="C30:AH30" ca="1" si="8">IF(C65=0,C49,0)</f>
        <v>0</v>
      </c>
      <c r="D30" s="21">
        <f t="shared" ca="1" si="8"/>
        <v>0</v>
      </c>
      <c r="E30" s="21">
        <f t="shared" ca="1" si="8"/>
        <v>0</v>
      </c>
      <c r="F30" s="21">
        <f t="shared" ca="1" si="8"/>
        <v>0</v>
      </c>
      <c r="G30" s="21">
        <f t="shared" ca="1" si="8"/>
        <v>0</v>
      </c>
      <c r="H30" s="21">
        <f t="shared" ca="1" si="8"/>
        <v>0</v>
      </c>
      <c r="I30" s="21">
        <f t="shared" ca="1" si="8"/>
        <v>0</v>
      </c>
      <c r="J30" s="21">
        <f t="shared" ca="1" si="8"/>
        <v>-28711.089220169626</v>
      </c>
      <c r="K30" s="21">
        <f t="shared" ca="1" si="8"/>
        <v>-58748.579766422125</v>
      </c>
      <c r="L30" s="21">
        <f t="shared" ca="1" si="8"/>
        <v>-88987.664208855524</v>
      </c>
      <c r="M30" s="21">
        <f t="shared" ca="1" si="8"/>
        <v>-119429.69552663888</v>
      </c>
      <c r="N30" s="21">
        <f t="shared" ca="1" si="8"/>
        <v>-131955.23041021093</v>
      </c>
      <c r="O30" s="21">
        <f t="shared" ca="1" si="8"/>
        <v>-144564.82928618771</v>
      </c>
      <c r="P30" s="21">
        <f t="shared" ca="1" si="8"/>
        <v>-157259.05634243789</v>
      </c>
      <c r="Q30" s="21">
        <f t="shared" ca="1" si="8"/>
        <v>-170038.47955332577</v>
      </c>
      <c r="R30" s="21">
        <f t="shared" ca="1" si="8"/>
        <v>-182903.67070512424</v>
      </c>
      <c r="S30" s="21">
        <f t="shared" si="8"/>
        <v>0</v>
      </c>
      <c r="T30" s="21">
        <f t="shared" si="8"/>
        <v>0</v>
      </c>
      <c r="U30" s="21">
        <f t="shared" si="8"/>
        <v>0</v>
      </c>
      <c r="V30" s="21">
        <f t="shared" si="8"/>
        <v>0</v>
      </c>
      <c r="W30" s="21">
        <f t="shared" si="8"/>
        <v>0</v>
      </c>
      <c r="X30" s="21">
        <f t="shared" si="8"/>
        <v>0</v>
      </c>
      <c r="Y30" s="21">
        <f t="shared" si="8"/>
        <v>0</v>
      </c>
      <c r="Z30" s="21">
        <f t="shared" si="8"/>
        <v>0</v>
      </c>
      <c r="AA30" s="21">
        <f t="shared" si="8"/>
        <v>0</v>
      </c>
      <c r="AB30" s="21">
        <f t="shared" si="8"/>
        <v>0</v>
      </c>
      <c r="AC30" s="21">
        <f t="shared" si="8"/>
        <v>0</v>
      </c>
      <c r="AD30" s="21">
        <f t="shared" si="8"/>
        <v>0</v>
      </c>
      <c r="AE30" s="21">
        <f t="shared" si="8"/>
        <v>0</v>
      </c>
      <c r="AF30" s="21">
        <f t="shared" si="8"/>
        <v>0</v>
      </c>
      <c r="AG30" s="21">
        <f t="shared" si="8"/>
        <v>0</v>
      </c>
      <c r="AH30" s="21">
        <f t="shared" si="8"/>
        <v>0</v>
      </c>
      <c r="AI30" s="21">
        <f t="shared" ref="AI30:BK30" si="9">IF(AI65=0,AI49,0)</f>
        <v>0</v>
      </c>
      <c r="AJ30" s="21">
        <f t="shared" si="9"/>
        <v>0</v>
      </c>
      <c r="AK30" s="21">
        <f t="shared" si="9"/>
        <v>0</v>
      </c>
      <c r="AL30" s="21">
        <f t="shared" si="9"/>
        <v>0</v>
      </c>
      <c r="AM30" s="21">
        <f t="shared" si="9"/>
        <v>0</v>
      </c>
      <c r="AN30" s="21">
        <f t="shared" si="9"/>
        <v>0</v>
      </c>
      <c r="AO30" s="21">
        <f t="shared" si="9"/>
        <v>0</v>
      </c>
      <c r="AP30" s="21">
        <f t="shared" si="9"/>
        <v>0</v>
      </c>
      <c r="AQ30" s="21">
        <f t="shared" si="9"/>
        <v>0</v>
      </c>
      <c r="AR30" s="21">
        <f t="shared" si="9"/>
        <v>0</v>
      </c>
      <c r="AS30" s="21">
        <f t="shared" si="9"/>
        <v>0</v>
      </c>
      <c r="AT30" s="21">
        <f t="shared" si="9"/>
        <v>0</v>
      </c>
      <c r="AU30" s="21">
        <f t="shared" si="9"/>
        <v>0</v>
      </c>
      <c r="AV30" s="21">
        <f t="shared" si="9"/>
        <v>0</v>
      </c>
      <c r="AW30" s="21">
        <f t="shared" si="9"/>
        <v>0</v>
      </c>
      <c r="AX30" s="21">
        <f t="shared" si="9"/>
        <v>0</v>
      </c>
      <c r="AY30" s="21">
        <f t="shared" si="9"/>
        <v>0</v>
      </c>
      <c r="AZ30" s="21">
        <f t="shared" si="9"/>
        <v>0</v>
      </c>
      <c r="BA30" s="21">
        <f t="shared" si="9"/>
        <v>0</v>
      </c>
      <c r="BB30" s="21">
        <f t="shared" si="9"/>
        <v>0</v>
      </c>
      <c r="BC30" s="21">
        <f t="shared" si="9"/>
        <v>0</v>
      </c>
      <c r="BD30" s="21">
        <f t="shared" si="9"/>
        <v>0</v>
      </c>
      <c r="BE30" s="21">
        <f t="shared" si="9"/>
        <v>0</v>
      </c>
      <c r="BF30" s="21">
        <f t="shared" si="9"/>
        <v>0</v>
      </c>
      <c r="BG30" s="21">
        <f t="shared" si="9"/>
        <v>0</v>
      </c>
      <c r="BH30" s="21">
        <f t="shared" si="9"/>
        <v>0</v>
      </c>
      <c r="BI30" s="21">
        <f t="shared" si="9"/>
        <v>0</v>
      </c>
      <c r="BJ30" s="21">
        <f t="shared" si="9"/>
        <v>0</v>
      </c>
      <c r="BK30" s="21">
        <f t="shared" si="9"/>
        <v>0</v>
      </c>
    </row>
    <row r="31" spans="1:63" s="98" customFormat="1">
      <c r="A31" s="11" t="s">
        <v>154</v>
      </c>
      <c r="B31" s="49">
        <f ca="1">SUM(C31:BK31)</f>
        <v>-884826.46453725419</v>
      </c>
      <c r="C31" s="21">
        <f>IF(C72&lt;0,C72,0)</f>
        <v>0</v>
      </c>
      <c r="D31" s="21">
        <f t="shared" ref="D31:BK31" si="10">IF(D72&lt;0,D72,0)</f>
        <v>0</v>
      </c>
      <c r="E31" s="21">
        <f t="shared" si="10"/>
        <v>0</v>
      </c>
      <c r="F31" s="21">
        <f t="shared" si="10"/>
        <v>0</v>
      </c>
      <c r="G31" s="21">
        <f t="shared" si="10"/>
        <v>0</v>
      </c>
      <c r="H31" s="21">
        <f t="shared" si="10"/>
        <v>0</v>
      </c>
      <c r="I31" s="21">
        <f t="shared" si="10"/>
        <v>0</v>
      </c>
      <c r="J31" s="21">
        <f>IF(J72&lt;0,J72,0)</f>
        <v>0</v>
      </c>
      <c r="K31" s="21">
        <f t="shared" si="10"/>
        <v>0</v>
      </c>
      <c r="L31" s="21">
        <f t="shared" si="10"/>
        <v>0</v>
      </c>
      <c r="M31" s="21">
        <f t="shared" si="10"/>
        <v>0</v>
      </c>
      <c r="N31" s="21">
        <f t="shared" si="10"/>
        <v>0</v>
      </c>
      <c r="O31" s="21">
        <f t="shared" si="10"/>
        <v>0</v>
      </c>
      <c r="P31" s="21">
        <f t="shared" si="10"/>
        <v>0</v>
      </c>
      <c r="Q31" s="21">
        <f t="shared" si="10"/>
        <v>0</v>
      </c>
      <c r="R31" s="21">
        <f t="shared" si="10"/>
        <v>0</v>
      </c>
      <c r="S31" s="21">
        <f t="shared" ca="1" si="10"/>
        <v>-166166.23610232654</v>
      </c>
      <c r="T31" s="21">
        <f t="shared" ca="1" si="10"/>
        <v>-149316.46972356926</v>
      </c>
      <c r="U31" s="21">
        <f t="shared" ca="1" si="10"/>
        <v>-132353.61766431585</v>
      </c>
      <c r="V31" s="21">
        <f t="shared" ca="1" si="10"/>
        <v>-115276.92096026782</v>
      </c>
      <c r="W31" s="21">
        <f t="shared" ca="1" si="10"/>
        <v>-98085.615553406533</v>
      </c>
      <c r="X31" s="21">
        <f t="shared" ca="1" si="10"/>
        <v>-80778.932257807217</v>
      </c>
      <c r="Y31" s="21">
        <f t="shared" ca="1" si="10"/>
        <v>-63356.096725223426</v>
      </c>
      <c r="Z31" s="21">
        <f t="shared" ca="1" si="10"/>
        <v>-45816.329410440667</v>
      </c>
      <c r="AA31" s="21">
        <f t="shared" ca="1" si="10"/>
        <v>-28158.845536397304</v>
      </c>
      <c r="AB31" s="21">
        <f t="shared" ca="1" si="10"/>
        <v>-5517.3709478702804</v>
      </c>
      <c r="AC31" s="21">
        <f t="shared" ca="1" si="10"/>
        <v>0</v>
      </c>
      <c r="AD31" s="21">
        <f t="shared" si="10"/>
        <v>0</v>
      </c>
      <c r="AE31" s="21">
        <f t="shared" si="10"/>
        <v>0</v>
      </c>
      <c r="AF31" s="21">
        <f t="shared" si="10"/>
        <v>0</v>
      </c>
      <c r="AG31" s="21">
        <f t="shared" si="10"/>
        <v>0</v>
      </c>
      <c r="AH31" s="21">
        <f t="shared" si="10"/>
        <v>0</v>
      </c>
      <c r="AI31" s="21">
        <f t="shared" si="10"/>
        <v>0</v>
      </c>
      <c r="AJ31" s="21">
        <f t="shared" si="10"/>
        <v>0</v>
      </c>
      <c r="AK31" s="21">
        <f t="shared" si="10"/>
        <v>0</v>
      </c>
      <c r="AL31" s="21">
        <f t="shared" si="10"/>
        <v>0</v>
      </c>
      <c r="AM31" s="21">
        <f t="shared" si="10"/>
        <v>0</v>
      </c>
      <c r="AN31" s="21">
        <f t="shared" si="10"/>
        <v>0</v>
      </c>
      <c r="AO31" s="21">
        <f t="shared" si="10"/>
        <v>0</v>
      </c>
      <c r="AP31" s="21">
        <f t="shared" si="10"/>
        <v>0</v>
      </c>
      <c r="AQ31" s="21">
        <f t="shared" si="10"/>
        <v>0</v>
      </c>
      <c r="AR31" s="21">
        <f t="shared" si="10"/>
        <v>0</v>
      </c>
      <c r="AS31" s="21">
        <f t="shared" si="10"/>
        <v>0</v>
      </c>
      <c r="AT31" s="21">
        <f t="shared" si="10"/>
        <v>0</v>
      </c>
      <c r="AU31" s="21">
        <f t="shared" si="10"/>
        <v>0</v>
      </c>
      <c r="AV31" s="21">
        <f t="shared" si="10"/>
        <v>0</v>
      </c>
      <c r="AW31" s="21">
        <f t="shared" si="10"/>
        <v>0</v>
      </c>
      <c r="AX31" s="21">
        <f t="shared" si="10"/>
        <v>0</v>
      </c>
      <c r="AY31" s="21">
        <f t="shared" si="10"/>
        <v>0</v>
      </c>
      <c r="AZ31" s="21">
        <f t="shared" si="10"/>
        <v>0</v>
      </c>
      <c r="BA31" s="21">
        <f t="shared" si="10"/>
        <v>0</v>
      </c>
      <c r="BB31" s="21">
        <f t="shared" si="10"/>
        <v>0</v>
      </c>
      <c r="BC31" s="21">
        <f t="shared" si="10"/>
        <v>0</v>
      </c>
      <c r="BD31" s="21">
        <f t="shared" si="10"/>
        <v>0</v>
      </c>
      <c r="BE31" s="21">
        <f t="shared" si="10"/>
        <v>0</v>
      </c>
      <c r="BF31" s="21">
        <f t="shared" si="10"/>
        <v>0</v>
      </c>
      <c r="BG31" s="21">
        <f t="shared" si="10"/>
        <v>0</v>
      </c>
      <c r="BH31" s="21">
        <f t="shared" si="10"/>
        <v>0</v>
      </c>
      <c r="BI31" s="21">
        <f t="shared" si="10"/>
        <v>0</v>
      </c>
      <c r="BJ31" s="21">
        <f t="shared" si="10"/>
        <v>0</v>
      </c>
      <c r="BK31" s="21">
        <f t="shared" si="10"/>
        <v>0</v>
      </c>
    </row>
    <row r="32" spans="1:63" s="5" customFormat="1">
      <c r="A32" s="13" t="s">
        <v>213</v>
      </c>
      <c r="B32" s="23">
        <f ca="1">SUM(C32:BK32)</f>
        <v>-2250628.5498331655</v>
      </c>
      <c r="C32" s="26">
        <f ca="1">SUM(C29:C31)</f>
        <v>-283203.77132323792</v>
      </c>
      <c r="D32" s="26">
        <f t="shared" ref="D32:BK32" ca="1" si="11">SUM(D29:D31)</f>
        <v>0</v>
      </c>
      <c r="E32" s="26">
        <f t="shared" ca="1" si="11"/>
        <v>0</v>
      </c>
      <c r="F32" s="26">
        <f t="shared" ca="1" si="11"/>
        <v>0</v>
      </c>
      <c r="G32" s="26">
        <f t="shared" ca="1" si="11"/>
        <v>0</v>
      </c>
      <c r="H32" s="26">
        <f t="shared" ca="1" si="11"/>
        <v>0</v>
      </c>
      <c r="I32" s="26">
        <f t="shared" ca="1" si="11"/>
        <v>0</v>
      </c>
      <c r="J32" s="26">
        <f t="shared" ca="1" si="11"/>
        <v>-28711.089220169626</v>
      </c>
      <c r="K32" s="26">
        <f t="shared" ca="1" si="11"/>
        <v>-58748.579766422125</v>
      </c>
      <c r="L32" s="26">
        <f t="shared" ca="1" si="11"/>
        <v>-88987.664208855524</v>
      </c>
      <c r="M32" s="26">
        <f t="shared" ca="1" si="11"/>
        <v>-119429.69552663888</v>
      </c>
      <c r="N32" s="26">
        <f t="shared" ca="1" si="11"/>
        <v>-131955.23041021093</v>
      </c>
      <c r="O32" s="26">
        <f t="shared" ca="1" si="11"/>
        <v>-144564.82928618771</v>
      </c>
      <c r="P32" s="26">
        <f t="shared" ca="1" si="11"/>
        <v>-157259.05634243789</v>
      </c>
      <c r="Q32" s="26">
        <f t="shared" ca="1" si="11"/>
        <v>-170038.47955332577</v>
      </c>
      <c r="R32" s="26">
        <f t="shared" ca="1" si="11"/>
        <v>-182903.67070512424</v>
      </c>
      <c r="S32" s="26">
        <f t="shared" ca="1" si="11"/>
        <v>-166166.23610232654</v>
      </c>
      <c r="T32" s="26">
        <f t="shared" ca="1" si="11"/>
        <v>-149316.46972356926</v>
      </c>
      <c r="U32" s="26">
        <f t="shared" ca="1" si="11"/>
        <v>-132353.61766431585</v>
      </c>
      <c r="V32" s="26">
        <f t="shared" ca="1" si="11"/>
        <v>-115276.92096026782</v>
      </c>
      <c r="W32" s="26">
        <f t="shared" ca="1" si="11"/>
        <v>-98085.615553406533</v>
      </c>
      <c r="X32" s="26">
        <f t="shared" ca="1" si="11"/>
        <v>-80778.932257807217</v>
      </c>
      <c r="Y32" s="26">
        <f t="shared" ca="1" si="11"/>
        <v>-63356.096725223426</v>
      </c>
      <c r="Z32" s="26">
        <f t="shared" ca="1" si="11"/>
        <v>-45816.329410440667</v>
      </c>
      <c r="AA32" s="26">
        <f t="shared" ca="1" si="11"/>
        <v>-28158.845536397304</v>
      </c>
      <c r="AB32" s="26">
        <f t="shared" ca="1" si="11"/>
        <v>-5517.3709478702804</v>
      </c>
      <c r="AC32" s="26">
        <f t="shared" ca="1" si="11"/>
        <v>0</v>
      </c>
      <c r="AD32" s="26">
        <f t="shared" si="11"/>
        <v>0</v>
      </c>
      <c r="AE32" s="26">
        <f t="shared" si="11"/>
        <v>0</v>
      </c>
      <c r="AF32" s="26">
        <f t="shared" si="11"/>
        <v>0</v>
      </c>
      <c r="AG32" s="26">
        <f t="shared" si="11"/>
        <v>0</v>
      </c>
      <c r="AH32" s="26">
        <f t="shared" si="11"/>
        <v>0</v>
      </c>
      <c r="AI32" s="26">
        <f t="shared" si="11"/>
        <v>0</v>
      </c>
      <c r="AJ32" s="26">
        <f t="shared" si="11"/>
        <v>0</v>
      </c>
      <c r="AK32" s="26">
        <f t="shared" si="11"/>
        <v>0</v>
      </c>
      <c r="AL32" s="26">
        <f t="shared" si="11"/>
        <v>0</v>
      </c>
      <c r="AM32" s="26">
        <f t="shared" si="11"/>
        <v>0</v>
      </c>
      <c r="AN32" s="26">
        <f t="shared" si="11"/>
        <v>0</v>
      </c>
      <c r="AO32" s="26">
        <f t="shared" si="11"/>
        <v>0</v>
      </c>
      <c r="AP32" s="26">
        <f t="shared" si="11"/>
        <v>0</v>
      </c>
      <c r="AQ32" s="26">
        <f t="shared" si="11"/>
        <v>0</v>
      </c>
      <c r="AR32" s="26">
        <f t="shared" si="11"/>
        <v>0</v>
      </c>
      <c r="AS32" s="26">
        <f t="shared" si="11"/>
        <v>0</v>
      </c>
      <c r="AT32" s="26">
        <f t="shared" si="11"/>
        <v>0</v>
      </c>
      <c r="AU32" s="26">
        <f t="shared" si="11"/>
        <v>0</v>
      </c>
      <c r="AV32" s="26">
        <f t="shared" si="11"/>
        <v>0</v>
      </c>
      <c r="AW32" s="26">
        <f t="shared" si="11"/>
        <v>0</v>
      </c>
      <c r="AX32" s="26">
        <f t="shared" si="11"/>
        <v>0</v>
      </c>
      <c r="AY32" s="26">
        <f t="shared" si="11"/>
        <v>0</v>
      </c>
      <c r="AZ32" s="26">
        <f t="shared" si="11"/>
        <v>0</v>
      </c>
      <c r="BA32" s="26">
        <f t="shared" si="11"/>
        <v>0</v>
      </c>
      <c r="BB32" s="26">
        <f t="shared" si="11"/>
        <v>0</v>
      </c>
      <c r="BC32" s="26">
        <f t="shared" si="11"/>
        <v>0</v>
      </c>
      <c r="BD32" s="26">
        <f t="shared" si="11"/>
        <v>0</v>
      </c>
      <c r="BE32" s="26">
        <f t="shared" si="11"/>
        <v>0</v>
      </c>
      <c r="BF32" s="26">
        <f t="shared" si="11"/>
        <v>0</v>
      </c>
      <c r="BG32" s="26">
        <f t="shared" si="11"/>
        <v>0</v>
      </c>
      <c r="BH32" s="26">
        <f t="shared" si="11"/>
        <v>0</v>
      </c>
      <c r="BI32" s="26">
        <f t="shared" si="11"/>
        <v>0</v>
      </c>
      <c r="BJ32" s="26">
        <f t="shared" si="11"/>
        <v>0</v>
      </c>
      <c r="BK32" s="26">
        <f t="shared" si="11"/>
        <v>0</v>
      </c>
    </row>
    <row r="33" spans="1:63" s="5" customFormat="1">
      <c r="A33" s="11"/>
      <c r="B33" s="25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</row>
    <row r="34" spans="1:63" s="5" customFormat="1" ht="16" thickBot="1">
      <c r="A34" s="14" t="s">
        <v>214</v>
      </c>
      <c r="B34" s="27">
        <f ca="1">SUM(C34:BK34)</f>
        <v>-47200628.549833156</v>
      </c>
      <c r="C34" s="28">
        <f ca="1">C26+C22+C15+C32</f>
        <v>-5530078.7713232376</v>
      </c>
      <c r="D34" s="28">
        <f t="shared" ref="D34:BK34" ca="1" si="12">D26+D22+D15+D32</f>
        <v>-246875</v>
      </c>
      <c r="E34" s="28">
        <f t="shared" ca="1" si="12"/>
        <v>-246875</v>
      </c>
      <c r="F34" s="28">
        <f t="shared" ca="1" si="12"/>
        <v>-246875</v>
      </c>
      <c r="G34" s="28">
        <f t="shared" ca="1" si="12"/>
        <v>-1746875</v>
      </c>
      <c r="H34" s="28">
        <f t="shared" ca="1" si="12"/>
        <v>-6246875</v>
      </c>
      <c r="I34" s="28">
        <f t="shared" ca="1" si="12"/>
        <v>-4446875</v>
      </c>
      <c r="J34" s="28">
        <f t="shared" ca="1" si="12"/>
        <v>-4475586.0892201699</v>
      </c>
      <c r="K34" s="28">
        <f t="shared" ca="1" si="12"/>
        <v>-4505623.5797664225</v>
      </c>
      <c r="L34" s="28">
        <f t="shared" ca="1" si="12"/>
        <v>-4535862.6642088555</v>
      </c>
      <c r="M34" s="28">
        <f t="shared" ca="1" si="12"/>
        <v>-4566304.695526639</v>
      </c>
      <c r="N34" s="28">
        <f t="shared" ca="1" si="12"/>
        <v>-1878830.230410211</v>
      </c>
      <c r="O34" s="28">
        <f t="shared" ca="1" si="12"/>
        <v>-1891439.8292861877</v>
      </c>
      <c r="P34" s="28">
        <f t="shared" ca="1" si="12"/>
        <v>-1904134.0563424379</v>
      </c>
      <c r="Q34" s="28">
        <f t="shared" ca="1" si="12"/>
        <v>-1916913.4795533258</v>
      </c>
      <c r="R34" s="28">
        <f t="shared" ca="1" si="12"/>
        <v>-1929778.6707051243</v>
      </c>
      <c r="S34" s="28">
        <f t="shared" ca="1" si="12"/>
        <v>-166166.23610232654</v>
      </c>
      <c r="T34" s="28">
        <f t="shared" ca="1" si="12"/>
        <v>-149316.46972356926</v>
      </c>
      <c r="U34" s="28">
        <f t="shared" ca="1" si="12"/>
        <v>-132353.61766431585</v>
      </c>
      <c r="V34" s="28">
        <f t="shared" ca="1" si="12"/>
        <v>-115276.92096026782</v>
      </c>
      <c r="W34" s="28">
        <f t="shared" ca="1" si="12"/>
        <v>-98085.615553406533</v>
      </c>
      <c r="X34" s="28">
        <f t="shared" ca="1" si="12"/>
        <v>-80778.932257807217</v>
      </c>
      <c r="Y34" s="28">
        <f t="shared" ca="1" si="12"/>
        <v>-63356.096725223426</v>
      </c>
      <c r="Z34" s="28">
        <f t="shared" ca="1" si="12"/>
        <v>-45816.329410440667</v>
      </c>
      <c r="AA34" s="28">
        <f t="shared" ca="1" si="12"/>
        <v>-28158.845536397304</v>
      </c>
      <c r="AB34" s="28">
        <f t="shared" ca="1" si="12"/>
        <v>-5517.3709478702804</v>
      </c>
      <c r="AC34" s="28">
        <f t="shared" ca="1" si="12"/>
        <v>0</v>
      </c>
      <c r="AD34" s="28">
        <f t="shared" si="12"/>
        <v>0</v>
      </c>
      <c r="AE34" s="28">
        <f t="shared" si="12"/>
        <v>0</v>
      </c>
      <c r="AF34" s="28">
        <f t="shared" si="12"/>
        <v>0</v>
      </c>
      <c r="AG34" s="28">
        <f t="shared" si="12"/>
        <v>0</v>
      </c>
      <c r="AH34" s="28">
        <f t="shared" si="12"/>
        <v>0</v>
      </c>
      <c r="AI34" s="28">
        <f t="shared" si="12"/>
        <v>0</v>
      </c>
      <c r="AJ34" s="28">
        <f t="shared" si="12"/>
        <v>0</v>
      </c>
      <c r="AK34" s="28">
        <f t="shared" si="12"/>
        <v>0</v>
      </c>
      <c r="AL34" s="28">
        <f t="shared" si="12"/>
        <v>0</v>
      </c>
      <c r="AM34" s="28">
        <f t="shared" si="12"/>
        <v>0</v>
      </c>
      <c r="AN34" s="28">
        <f t="shared" si="12"/>
        <v>0</v>
      </c>
      <c r="AO34" s="28">
        <f t="shared" si="12"/>
        <v>0</v>
      </c>
      <c r="AP34" s="28">
        <f t="shared" si="12"/>
        <v>0</v>
      </c>
      <c r="AQ34" s="28">
        <f t="shared" si="12"/>
        <v>0</v>
      </c>
      <c r="AR34" s="28">
        <f t="shared" si="12"/>
        <v>0</v>
      </c>
      <c r="AS34" s="28">
        <f t="shared" si="12"/>
        <v>0</v>
      </c>
      <c r="AT34" s="28">
        <f t="shared" si="12"/>
        <v>0</v>
      </c>
      <c r="AU34" s="28">
        <f t="shared" si="12"/>
        <v>0</v>
      </c>
      <c r="AV34" s="28">
        <f t="shared" si="12"/>
        <v>0</v>
      </c>
      <c r="AW34" s="28">
        <f t="shared" si="12"/>
        <v>0</v>
      </c>
      <c r="AX34" s="28">
        <f t="shared" si="12"/>
        <v>0</v>
      </c>
      <c r="AY34" s="28">
        <f t="shared" si="12"/>
        <v>0</v>
      </c>
      <c r="AZ34" s="28">
        <f t="shared" si="12"/>
        <v>0</v>
      </c>
      <c r="BA34" s="28">
        <f t="shared" si="12"/>
        <v>0</v>
      </c>
      <c r="BB34" s="28">
        <f t="shared" si="12"/>
        <v>0</v>
      </c>
      <c r="BC34" s="28">
        <f t="shared" si="12"/>
        <v>0</v>
      </c>
      <c r="BD34" s="28">
        <f t="shared" si="12"/>
        <v>0</v>
      </c>
      <c r="BE34" s="28">
        <f t="shared" si="12"/>
        <v>0</v>
      </c>
      <c r="BF34" s="28">
        <f t="shared" si="12"/>
        <v>0</v>
      </c>
      <c r="BG34" s="28">
        <f t="shared" si="12"/>
        <v>0</v>
      </c>
      <c r="BH34" s="28">
        <f t="shared" si="12"/>
        <v>0</v>
      </c>
      <c r="BI34" s="28">
        <f t="shared" si="12"/>
        <v>0</v>
      </c>
      <c r="BJ34" s="28">
        <f t="shared" si="12"/>
        <v>0</v>
      </c>
      <c r="BK34" s="28">
        <f t="shared" si="12"/>
        <v>0</v>
      </c>
    </row>
    <row r="35" spans="1:63">
      <c r="A35" s="12" t="s">
        <v>215</v>
      </c>
      <c r="B35" s="24">
        <f ca="1">Inputs!L78</f>
        <v>47200628.501338378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</row>
    <row r="36" spans="1:63">
      <c r="A36" s="12"/>
      <c r="B36" s="24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</row>
    <row r="37" spans="1:63">
      <c r="A37" s="330" t="s">
        <v>216</v>
      </c>
      <c r="B37" s="330"/>
      <c r="C37" s="330"/>
      <c r="D37" s="330"/>
      <c r="E37" s="330"/>
      <c r="F37" s="330"/>
      <c r="G37" s="330"/>
      <c r="H37" s="330"/>
      <c r="I37" s="330"/>
      <c r="J37" s="330"/>
      <c r="K37" s="330"/>
      <c r="L37" s="330"/>
      <c r="M37" s="330"/>
      <c r="N37" s="330"/>
      <c r="O37" s="330"/>
      <c r="P37" s="330"/>
      <c r="Q37" s="330"/>
      <c r="R37" s="330"/>
      <c r="S37" s="330"/>
      <c r="T37" s="330"/>
      <c r="U37" s="330"/>
      <c r="V37" s="330"/>
      <c r="W37" s="330"/>
      <c r="X37" s="330"/>
      <c r="Y37" s="330"/>
      <c r="Z37" s="330"/>
      <c r="AA37" s="330"/>
      <c r="AB37" s="330"/>
      <c r="AC37" s="330"/>
      <c r="AD37" s="330"/>
      <c r="AE37" s="330"/>
      <c r="AF37" s="330"/>
      <c r="AG37" s="330"/>
      <c r="AH37" s="330"/>
      <c r="AI37" s="330"/>
      <c r="AJ37" s="330"/>
      <c r="AK37" s="330"/>
      <c r="AL37" s="330"/>
      <c r="AM37" s="330"/>
      <c r="AN37" s="330"/>
      <c r="AO37" s="330"/>
      <c r="AP37" s="330"/>
      <c r="AQ37" s="330"/>
      <c r="AR37" s="330"/>
      <c r="AS37" s="330"/>
      <c r="AT37" s="330"/>
      <c r="AU37" s="330"/>
      <c r="AV37" s="330"/>
      <c r="AW37" s="330"/>
      <c r="AX37" s="330"/>
      <c r="AY37" s="330"/>
      <c r="AZ37" s="330"/>
      <c r="BA37" s="330"/>
      <c r="BB37" s="330"/>
      <c r="BC37" s="330"/>
      <c r="BD37" s="330"/>
      <c r="BE37" s="330"/>
      <c r="BF37" s="330"/>
      <c r="BG37" s="330"/>
      <c r="BH37" s="330"/>
      <c r="BI37" s="330"/>
      <c r="BJ37" s="330"/>
      <c r="BK37" s="330"/>
    </row>
    <row r="38" spans="1:63"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</row>
    <row r="39" spans="1:63">
      <c r="A39" s="5" t="s">
        <v>35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</row>
    <row r="40" spans="1:63">
      <c r="A40" s="11" t="s">
        <v>217</v>
      </c>
      <c r="C40" s="29">
        <f ca="1">Inputs!L82</f>
        <v>18880251.393213432</v>
      </c>
      <c r="D40" s="17">
        <f t="shared" ref="D40:I40" ca="1" si="13">C42</f>
        <v>13350172.610072006</v>
      </c>
      <c r="E40" s="17">
        <f t="shared" ca="1" si="13"/>
        <v>13103297.668276943</v>
      </c>
      <c r="F40" s="17">
        <f t="shared" ca="1" si="13"/>
        <v>12856422.65129469</v>
      </c>
      <c r="G40" s="17">
        <f t="shared" ca="1" si="13"/>
        <v>12609547.60930302</v>
      </c>
      <c r="H40" s="17">
        <f t="shared" ca="1" si="13"/>
        <v>10862672.719314795</v>
      </c>
      <c r="I40" s="17">
        <f t="shared" ca="1" si="13"/>
        <v>4615797.4885260276</v>
      </c>
      <c r="J40" s="17">
        <f t="shared" ref="J40" ca="1" si="14">I42</f>
        <v>168922.75696645677</v>
      </c>
      <c r="K40" s="17">
        <f t="shared" ref="K40" ca="1" si="15">J42</f>
        <v>0</v>
      </c>
      <c r="L40" s="17">
        <f t="shared" ref="L40" ca="1" si="16">K42</f>
        <v>0</v>
      </c>
      <c r="M40" s="17">
        <f t="shared" ref="M40" ca="1" si="17">L42</f>
        <v>0</v>
      </c>
      <c r="N40" s="17">
        <f t="shared" ref="N40" ca="1" si="18">M42</f>
        <v>0</v>
      </c>
      <c r="O40" s="17">
        <f t="shared" ref="O40" ca="1" si="19">N42</f>
        <v>0</v>
      </c>
      <c r="P40" s="17">
        <f t="shared" ref="P40" ca="1" si="20">O42</f>
        <v>0</v>
      </c>
      <c r="Q40" s="17">
        <f t="shared" ref="Q40" ca="1" si="21">P42</f>
        <v>0</v>
      </c>
      <c r="R40" s="17">
        <f t="shared" ref="R40" ca="1" si="22">Q42</f>
        <v>0</v>
      </c>
      <c r="S40" s="17">
        <f t="shared" ref="S40" ca="1" si="23">R42</f>
        <v>0</v>
      </c>
      <c r="T40" s="17">
        <f t="shared" ref="T40" ca="1" si="24">S42</f>
        <v>0</v>
      </c>
      <c r="U40" s="17">
        <f t="shared" ref="U40" ca="1" si="25">T42</f>
        <v>0</v>
      </c>
      <c r="V40" s="17">
        <f t="shared" ref="V40" ca="1" si="26">U42</f>
        <v>0</v>
      </c>
      <c r="W40" s="17">
        <f t="shared" ref="W40" ca="1" si="27">V42</f>
        <v>0</v>
      </c>
      <c r="X40" s="17">
        <f t="shared" ref="X40" ca="1" si="28">W42</f>
        <v>0</v>
      </c>
      <c r="Y40" s="17">
        <f t="shared" ref="Y40" ca="1" si="29">X42</f>
        <v>0</v>
      </c>
      <c r="Z40" s="17">
        <f t="shared" ref="Z40" ca="1" si="30">Y42</f>
        <v>0</v>
      </c>
      <c r="AA40" s="17">
        <f t="shared" ref="AA40" ca="1" si="31">Z42</f>
        <v>0</v>
      </c>
      <c r="AB40" s="17">
        <f t="shared" ref="AB40" ca="1" si="32">AA42</f>
        <v>0</v>
      </c>
      <c r="AC40" s="17">
        <f t="shared" ref="AC40" ca="1" si="33">AB42</f>
        <v>0</v>
      </c>
      <c r="AD40" s="17">
        <f t="shared" ref="AD40" ca="1" si="34">AC42</f>
        <v>0</v>
      </c>
      <c r="AE40" s="17">
        <f t="shared" ref="AE40" ca="1" si="35">AD42</f>
        <v>0</v>
      </c>
      <c r="AF40" s="17">
        <f t="shared" ref="AF40" ca="1" si="36">AE42</f>
        <v>0</v>
      </c>
      <c r="AG40" s="17">
        <f t="shared" ref="AG40" ca="1" si="37">AF42</f>
        <v>0</v>
      </c>
      <c r="AH40" s="17">
        <f t="shared" ref="AH40" ca="1" si="38">AG42</f>
        <v>0</v>
      </c>
      <c r="AI40" s="17">
        <f t="shared" ref="AI40" ca="1" si="39">AH42</f>
        <v>0</v>
      </c>
      <c r="AJ40" s="17">
        <f t="shared" ref="AJ40" ca="1" si="40">AI42</f>
        <v>0</v>
      </c>
      <c r="AK40" s="17">
        <f t="shared" ref="AK40" ca="1" si="41">AJ42</f>
        <v>0</v>
      </c>
      <c r="AL40" s="17">
        <f t="shared" ref="AL40" ca="1" si="42">AK42</f>
        <v>0</v>
      </c>
      <c r="AM40" s="17">
        <f t="shared" ref="AM40" ca="1" si="43">AL42</f>
        <v>0</v>
      </c>
      <c r="AN40" s="17">
        <f t="shared" ref="AN40" ca="1" si="44">AM42</f>
        <v>0</v>
      </c>
      <c r="AO40" s="17">
        <f t="shared" ref="AO40" ca="1" si="45">AN42</f>
        <v>0</v>
      </c>
      <c r="AP40" s="17">
        <f t="shared" ref="AP40" ca="1" si="46">AO42</f>
        <v>0</v>
      </c>
      <c r="AQ40" s="17">
        <f t="shared" ref="AQ40" ca="1" si="47">AP42</f>
        <v>0</v>
      </c>
      <c r="AR40" s="17">
        <f t="shared" ref="AR40" ca="1" si="48">AQ42</f>
        <v>0</v>
      </c>
      <c r="AS40" s="17">
        <f t="shared" ref="AS40" ca="1" si="49">AR42</f>
        <v>0</v>
      </c>
      <c r="AT40" s="17">
        <f t="shared" ref="AT40" ca="1" si="50">AS42</f>
        <v>0</v>
      </c>
      <c r="AU40" s="17">
        <f t="shared" ref="AU40" ca="1" si="51">AT42</f>
        <v>0</v>
      </c>
      <c r="AV40" s="17">
        <f t="shared" ref="AV40" ca="1" si="52">AU42</f>
        <v>0</v>
      </c>
      <c r="AW40" s="17">
        <f t="shared" ref="AW40" ca="1" si="53">AV42</f>
        <v>0</v>
      </c>
      <c r="AX40" s="17">
        <f t="shared" ref="AX40" ca="1" si="54">AW42</f>
        <v>0</v>
      </c>
      <c r="AY40" s="17">
        <f t="shared" ref="AY40" ca="1" si="55">AX42</f>
        <v>0</v>
      </c>
      <c r="AZ40" s="17">
        <f t="shared" ref="AZ40" ca="1" si="56">AY42</f>
        <v>0</v>
      </c>
      <c r="BA40" s="17">
        <f t="shared" ref="BA40" ca="1" si="57">AZ42</f>
        <v>0</v>
      </c>
      <c r="BB40" s="17">
        <f t="shared" ref="BB40" ca="1" si="58">BA42</f>
        <v>0</v>
      </c>
      <c r="BC40" s="17">
        <f t="shared" ref="BC40" ca="1" si="59">BB42</f>
        <v>0</v>
      </c>
      <c r="BD40" s="17">
        <f t="shared" ref="BD40" ca="1" si="60">BC42</f>
        <v>0</v>
      </c>
      <c r="BE40" s="17">
        <f t="shared" ref="BE40" ca="1" si="61">BD42</f>
        <v>0</v>
      </c>
      <c r="BF40" s="17">
        <f t="shared" ref="BF40" ca="1" si="62">BE42</f>
        <v>0</v>
      </c>
      <c r="BG40" s="17">
        <f t="shared" ref="BG40" ca="1" si="63">BF42</f>
        <v>0</v>
      </c>
      <c r="BH40" s="17">
        <f t="shared" ref="BH40" ca="1" si="64">BG42</f>
        <v>0</v>
      </c>
      <c r="BI40" s="17">
        <f t="shared" ref="BI40" ca="1" si="65">BH42</f>
        <v>0</v>
      </c>
      <c r="BJ40" s="17">
        <f t="shared" ref="BJ40" ca="1" si="66">BI42</f>
        <v>0</v>
      </c>
      <c r="BK40" s="17">
        <f t="shared" ref="BK40" ca="1" si="67">BJ42</f>
        <v>0</v>
      </c>
    </row>
    <row r="41" spans="1:63">
      <c r="A41" s="11" t="s">
        <v>218</v>
      </c>
      <c r="B41" s="30">
        <f ca="1">SUM(C41:BK41)</f>
        <v>-18880251.479527272</v>
      </c>
      <c r="C41" s="17">
        <f t="shared" ref="C41:I41" ca="1" si="68">IF(-C34&gt;C40,-C40,C34)</f>
        <v>-5530078.7713232376</v>
      </c>
      <c r="D41" s="17">
        <f t="shared" ca="1" si="68"/>
        <v>-246875</v>
      </c>
      <c r="E41" s="17">
        <f t="shared" ca="1" si="68"/>
        <v>-246875</v>
      </c>
      <c r="F41" s="17">
        <f t="shared" ca="1" si="68"/>
        <v>-246875</v>
      </c>
      <c r="G41" s="17">
        <f t="shared" ca="1" si="68"/>
        <v>-1746875</v>
      </c>
      <c r="H41" s="17">
        <f t="shared" ca="1" si="68"/>
        <v>-6246875</v>
      </c>
      <c r="I41" s="17">
        <f t="shared" ca="1" si="68"/>
        <v>-4446875</v>
      </c>
      <c r="J41" s="17">
        <f t="shared" ref="J41:BK41" ca="1" si="69">IF(-J34&gt;J40,-J40,J34)</f>
        <v>-168922.75696645677</v>
      </c>
      <c r="K41" s="17">
        <f t="shared" ca="1" si="69"/>
        <v>0</v>
      </c>
      <c r="L41" s="17">
        <f t="shared" ca="1" si="69"/>
        <v>0</v>
      </c>
      <c r="M41" s="17">
        <f t="shared" ca="1" si="69"/>
        <v>0</v>
      </c>
      <c r="N41" s="17">
        <f t="shared" ca="1" si="69"/>
        <v>0</v>
      </c>
      <c r="O41" s="17">
        <f t="shared" ca="1" si="69"/>
        <v>0</v>
      </c>
      <c r="P41" s="17">
        <f t="shared" ca="1" si="69"/>
        <v>0</v>
      </c>
      <c r="Q41" s="17">
        <f t="shared" ca="1" si="69"/>
        <v>0</v>
      </c>
      <c r="R41" s="17">
        <f t="shared" ca="1" si="69"/>
        <v>0</v>
      </c>
      <c r="S41" s="17">
        <f t="shared" ca="1" si="69"/>
        <v>0</v>
      </c>
      <c r="T41" s="17">
        <f t="shared" ca="1" si="69"/>
        <v>0</v>
      </c>
      <c r="U41" s="17">
        <f t="shared" ca="1" si="69"/>
        <v>0</v>
      </c>
      <c r="V41" s="17">
        <f t="shared" ca="1" si="69"/>
        <v>0</v>
      </c>
      <c r="W41" s="17">
        <f t="shared" ca="1" si="69"/>
        <v>0</v>
      </c>
      <c r="X41" s="17">
        <f t="shared" ca="1" si="69"/>
        <v>0</v>
      </c>
      <c r="Y41" s="17">
        <f t="shared" ca="1" si="69"/>
        <v>0</v>
      </c>
      <c r="Z41" s="17">
        <f t="shared" ca="1" si="69"/>
        <v>0</v>
      </c>
      <c r="AA41" s="17">
        <f t="shared" ca="1" si="69"/>
        <v>0</v>
      </c>
      <c r="AB41" s="17">
        <f t="shared" ca="1" si="69"/>
        <v>0</v>
      </c>
      <c r="AC41" s="17">
        <f t="shared" ca="1" si="69"/>
        <v>0</v>
      </c>
      <c r="AD41" s="17">
        <f t="shared" ca="1" si="69"/>
        <v>0</v>
      </c>
      <c r="AE41" s="17">
        <f t="shared" ca="1" si="69"/>
        <v>0</v>
      </c>
      <c r="AF41" s="17">
        <f t="shared" ca="1" si="69"/>
        <v>0</v>
      </c>
      <c r="AG41" s="17">
        <f t="shared" ca="1" si="69"/>
        <v>0</v>
      </c>
      <c r="AH41" s="17">
        <f t="shared" ca="1" si="69"/>
        <v>0</v>
      </c>
      <c r="AI41" s="17">
        <f t="shared" ca="1" si="69"/>
        <v>0</v>
      </c>
      <c r="AJ41" s="17">
        <f t="shared" ca="1" si="69"/>
        <v>0</v>
      </c>
      <c r="AK41" s="17">
        <f t="shared" ca="1" si="69"/>
        <v>0</v>
      </c>
      <c r="AL41" s="17">
        <f t="shared" ca="1" si="69"/>
        <v>0</v>
      </c>
      <c r="AM41" s="17">
        <f t="shared" ca="1" si="69"/>
        <v>0</v>
      </c>
      <c r="AN41" s="17">
        <f t="shared" ca="1" si="69"/>
        <v>0</v>
      </c>
      <c r="AO41" s="17">
        <f t="shared" ca="1" si="69"/>
        <v>0</v>
      </c>
      <c r="AP41" s="17">
        <f t="shared" ca="1" si="69"/>
        <v>0</v>
      </c>
      <c r="AQ41" s="17">
        <f t="shared" ca="1" si="69"/>
        <v>0</v>
      </c>
      <c r="AR41" s="17">
        <f t="shared" ca="1" si="69"/>
        <v>0</v>
      </c>
      <c r="AS41" s="17">
        <f t="shared" ca="1" si="69"/>
        <v>0</v>
      </c>
      <c r="AT41" s="17">
        <f t="shared" ca="1" si="69"/>
        <v>0</v>
      </c>
      <c r="AU41" s="17">
        <f t="shared" ca="1" si="69"/>
        <v>0</v>
      </c>
      <c r="AV41" s="17">
        <f t="shared" ca="1" si="69"/>
        <v>0</v>
      </c>
      <c r="AW41" s="17">
        <f t="shared" ca="1" si="69"/>
        <v>0</v>
      </c>
      <c r="AX41" s="17">
        <f t="shared" ca="1" si="69"/>
        <v>0</v>
      </c>
      <c r="AY41" s="17">
        <f t="shared" ca="1" si="69"/>
        <v>0</v>
      </c>
      <c r="AZ41" s="17">
        <f t="shared" ca="1" si="69"/>
        <v>0</v>
      </c>
      <c r="BA41" s="17">
        <f t="shared" ca="1" si="69"/>
        <v>0</v>
      </c>
      <c r="BB41" s="17">
        <f t="shared" ca="1" si="69"/>
        <v>0</v>
      </c>
      <c r="BC41" s="17">
        <f t="shared" ca="1" si="69"/>
        <v>0</v>
      </c>
      <c r="BD41" s="17">
        <f t="shared" ca="1" si="69"/>
        <v>0</v>
      </c>
      <c r="BE41" s="17">
        <f t="shared" ca="1" si="69"/>
        <v>0</v>
      </c>
      <c r="BF41" s="17">
        <f t="shared" ca="1" si="69"/>
        <v>0</v>
      </c>
      <c r="BG41" s="17">
        <f t="shared" ca="1" si="69"/>
        <v>0</v>
      </c>
      <c r="BH41" s="17">
        <f t="shared" ca="1" si="69"/>
        <v>0</v>
      </c>
      <c r="BI41" s="17">
        <f t="shared" ca="1" si="69"/>
        <v>0</v>
      </c>
      <c r="BJ41" s="17">
        <f t="shared" ca="1" si="69"/>
        <v>0</v>
      </c>
      <c r="BK41" s="17">
        <f t="shared" ca="1" si="69"/>
        <v>0</v>
      </c>
    </row>
    <row r="42" spans="1:63">
      <c r="A42" s="11" t="s">
        <v>219</v>
      </c>
      <c r="C42" s="17">
        <f t="shared" ref="C42:I42" ca="1" si="70">SUM(C40:C41)</f>
        <v>13350172.621890195</v>
      </c>
      <c r="D42" s="17">
        <f t="shared" ca="1" si="70"/>
        <v>13103297.610072006</v>
      </c>
      <c r="E42" s="17">
        <f t="shared" ca="1" si="70"/>
        <v>12856422.668276943</v>
      </c>
      <c r="F42" s="17">
        <f t="shared" ca="1" si="70"/>
        <v>12609547.65129469</v>
      </c>
      <c r="G42" s="17">
        <f t="shared" ca="1" si="70"/>
        <v>10862672.60930302</v>
      </c>
      <c r="H42" s="17">
        <f t="shared" ca="1" si="70"/>
        <v>4615797.719314795</v>
      </c>
      <c r="I42" s="17">
        <f t="shared" ca="1" si="70"/>
        <v>168922.48852602765</v>
      </c>
      <c r="J42" s="17">
        <f t="shared" ref="J42:BK42" ca="1" si="71">SUM(J40:J41)</f>
        <v>0</v>
      </c>
      <c r="K42" s="17">
        <f t="shared" ca="1" si="71"/>
        <v>0</v>
      </c>
      <c r="L42" s="17">
        <f t="shared" ca="1" si="71"/>
        <v>0</v>
      </c>
      <c r="M42" s="17">
        <f t="shared" ca="1" si="71"/>
        <v>0</v>
      </c>
      <c r="N42" s="17">
        <f t="shared" ca="1" si="71"/>
        <v>0</v>
      </c>
      <c r="O42" s="17">
        <f t="shared" ca="1" si="71"/>
        <v>0</v>
      </c>
      <c r="P42" s="17">
        <f t="shared" ca="1" si="71"/>
        <v>0</v>
      </c>
      <c r="Q42" s="17">
        <f t="shared" ca="1" si="71"/>
        <v>0</v>
      </c>
      <c r="R42" s="17">
        <f t="shared" ca="1" si="71"/>
        <v>0</v>
      </c>
      <c r="S42" s="17">
        <f t="shared" ca="1" si="71"/>
        <v>0</v>
      </c>
      <c r="T42" s="17">
        <f t="shared" ca="1" si="71"/>
        <v>0</v>
      </c>
      <c r="U42" s="17">
        <f t="shared" ca="1" si="71"/>
        <v>0</v>
      </c>
      <c r="V42" s="17">
        <f t="shared" ca="1" si="71"/>
        <v>0</v>
      </c>
      <c r="W42" s="17">
        <f t="shared" ca="1" si="71"/>
        <v>0</v>
      </c>
      <c r="X42" s="17">
        <f t="shared" ca="1" si="71"/>
        <v>0</v>
      </c>
      <c r="Y42" s="17">
        <f t="shared" ca="1" si="71"/>
        <v>0</v>
      </c>
      <c r="Z42" s="17">
        <f t="shared" ca="1" si="71"/>
        <v>0</v>
      </c>
      <c r="AA42" s="17">
        <f t="shared" ca="1" si="71"/>
        <v>0</v>
      </c>
      <c r="AB42" s="17">
        <f t="shared" ca="1" si="71"/>
        <v>0</v>
      </c>
      <c r="AC42" s="17">
        <f t="shared" ca="1" si="71"/>
        <v>0</v>
      </c>
      <c r="AD42" s="17">
        <f t="shared" ca="1" si="71"/>
        <v>0</v>
      </c>
      <c r="AE42" s="17">
        <f t="shared" ca="1" si="71"/>
        <v>0</v>
      </c>
      <c r="AF42" s="17">
        <f t="shared" ca="1" si="71"/>
        <v>0</v>
      </c>
      <c r="AG42" s="17">
        <f t="shared" ca="1" si="71"/>
        <v>0</v>
      </c>
      <c r="AH42" s="17">
        <f t="shared" ca="1" si="71"/>
        <v>0</v>
      </c>
      <c r="AI42" s="17">
        <f t="shared" ca="1" si="71"/>
        <v>0</v>
      </c>
      <c r="AJ42" s="17">
        <f t="shared" ca="1" si="71"/>
        <v>0</v>
      </c>
      <c r="AK42" s="17">
        <f t="shared" ca="1" si="71"/>
        <v>0</v>
      </c>
      <c r="AL42" s="17">
        <f t="shared" ca="1" si="71"/>
        <v>0</v>
      </c>
      <c r="AM42" s="17">
        <f t="shared" ca="1" si="71"/>
        <v>0</v>
      </c>
      <c r="AN42" s="17">
        <f t="shared" ca="1" si="71"/>
        <v>0</v>
      </c>
      <c r="AO42" s="17">
        <f t="shared" ca="1" si="71"/>
        <v>0</v>
      </c>
      <c r="AP42" s="17">
        <f t="shared" ca="1" si="71"/>
        <v>0</v>
      </c>
      <c r="AQ42" s="17">
        <f t="shared" ca="1" si="71"/>
        <v>0</v>
      </c>
      <c r="AR42" s="17">
        <f t="shared" ca="1" si="71"/>
        <v>0</v>
      </c>
      <c r="AS42" s="17">
        <f t="shared" ca="1" si="71"/>
        <v>0</v>
      </c>
      <c r="AT42" s="17">
        <f t="shared" ca="1" si="71"/>
        <v>0</v>
      </c>
      <c r="AU42" s="17">
        <f t="shared" ca="1" si="71"/>
        <v>0</v>
      </c>
      <c r="AV42" s="17">
        <f t="shared" ca="1" si="71"/>
        <v>0</v>
      </c>
      <c r="AW42" s="17">
        <f t="shared" ca="1" si="71"/>
        <v>0</v>
      </c>
      <c r="AX42" s="17">
        <f t="shared" ca="1" si="71"/>
        <v>0</v>
      </c>
      <c r="AY42" s="17">
        <f t="shared" ca="1" si="71"/>
        <v>0</v>
      </c>
      <c r="AZ42" s="17">
        <f t="shared" ca="1" si="71"/>
        <v>0</v>
      </c>
      <c r="BA42" s="17">
        <f t="shared" ca="1" si="71"/>
        <v>0</v>
      </c>
      <c r="BB42" s="17">
        <f t="shared" ca="1" si="71"/>
        <v>0</v>
      </c>
      <c r="BC42" s="17">
        <f t="shared" ca="1" si="71"/>
        <v>0</v>
      </c>
      <c r="BD42" s="17">
        <f t="shared" ca="1" si="71"/>
        <v>0</v>
      </c>
      <c r="BE42" s="17">
        <f t="shared" ca="1" si="71"/>
        <v>0</v>
      </c>
      <c r="BF42" s="17">
        <f t="shared" ca="1" si="71"/>
        <v>0</v>
      </c>
      <c r="BG42" s="17">
        <f t="shared" ca="1" si="71"/>
        <v>0</v>
      </c>
      <c r="BH42" s="17">
        <f t="shared" ca="1" si="71"/>
        <v>0</v>
      </c>
      <c r="BI42" s="17">
        <f t="shared" ca="1" si="71"/>
        <v>0</v>
      </c>
      <c r="BJ42" s="17">
        <f t="shared" ca="1" si="71"/>
        <v>0</v>
      </c>
      <c r="BK42" s="17">
        <f t="shared" ca="1" si="71"/>
        <v>0</v>
      </c>
    </row>
    <row r="44" spans="1:63">
      <c r="A44" s="5" t="s">
        <v>220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</row>
    <row r="45" spans="1:63">
      <c r="A45" s="11" t="s">
        <v>221</v>
      </c>
      <c r="C45" s="29">
        <f ca="1">Inputs!L80</f>
        <v>28320377.108124945</v>
      </c>
      <c r="D45" s="17">
        <f ca="1">C47</f>
        <v>28320377.13232379</v>
      </c>
      <c r="E45" s="17">
        <f t="shared" ref="E45:I45" ca="1" si="72">D47</f>
        <v>28320377.114578336</v>
      </c>
      <c r="F45" s="17">
        <f t="shared" ca="1" si="72"/>
        <v>28320377.101770833</v>
      </c>
      <c r="G45" s="17">
        <f t="shared" ca="1" si="72"/>
        <v>28320377.123170719</v>
      </c>
      <c r="H45" s="17">
        <f t="shared" ca="1" si="72"/>
        <v>28320377.047765218</v>
      </c>
      <c r="I45" s="17">
        <f t="shared" ca="1" si="72"/>
        <v>28320377.153785139</v>
      </c>
      <c r="J45" s="17">
        <f t="shared" ref="J45" ca="1" si="73">I47</f>
        <v>28320377.063086133</v>
      </c>
      <c r="K45" s="17">
        <f t="shared" ref="K45" ca="1" si="74">J47</f>
        <v>24013713.575905304</v>
      </c>
      <c r="L45" s="17">
        <f t="shared" ref="L45" ca="1" si="75">K47</f>
        <v>19508089.823487308</v>
      </c>
      <c r="M45" s="17">
        <f t="shared" ref="M45" ca="1" si="76">L47</f>
        <v>14972227.422778338</v>
      </c>
      <c r="N45" s="17">
        <f t="shared" ref="N45" ca="1" si="77">M47</f>
        <v>10405922.587671613</v>
      </c>
      <c r="O45" s="17">
        <f t="shared" ref="O45" ca="1" si="78">N47</f>
        <v>8527092.1828977633</v>
      </c>
      <c r="P45" s="17">
        <f t="shared" ref="P45" ca="1" si="79">O47</f>
        <v>6635652.6224436425</v>
      </c>
      <c r="Q45" s="17">
        <f t="shared" ref="Q45" ca="1" si="80">P47</f>
        <v>4731518.6272352245</v>
      </c>
      <c r="R45" s="17">
        <f t="shared" ref="R45" ca="1" si="81">Q47</f>
        <v>2814605.1357864216</v>
      </c>
      <c r="S45" s="17">
        <f t="shared" ref="S45" ca="1" si="82">R47</f>
        <v>884826.8105857044</v>
      </c>
      <c r="T45" s="17">
        <f t="shared" ref="T45" ca="1" si="83">S47</f>
        <v>718659.70387014037</v>
      </c>
      <c r="U45" s="17">
        <f t="shared" ref="U45" ca="1" si="84">T47</f>
        <v>569343.94598967722</v>
      </c>
      <c r="V45" s="17">
        <f t="shared" ref="V45" ca="1" si="85">U47</f>
        <v>436990.17564768606</v>
      </c>
      <c r="W45" s="17">
        <f t="shared" ref="W45" ca="1" si="86">V47</f>
        <v>321712.35422991164</v>
      </c>
      <c r="X45" s="17">
        <f t="shared" ref="X45" ca="1" si="87">W47</f>
        <v>223627.16866385585</v>
      </c>
      <c r="Y45" s="17">
        <f t="shared" ref="Y45" ca="1" si="88">X47</f>
        <v>142848.89153806452</v>
      </c>
      <c r="Z45" s="17">
        <f t="shared" ref="Z45" ca="1" si="89">Y47</f>
        <v>79491.792156665135</v>
      </c>
      <c r="AA45" s="17">
        <f t="shared" ref="AA45" ca="1" si="90">Z47</f>
        <v>33675.436570444246</v>
      </c>
      <c r="AB45" s="17">
        <f t="shared" ref="AB45" ca="1" si="91">AA47</f>
        <v>5516.4407641863945</v>
      </c>
      <c r="AC45" s="17">
        <f t="shared" ref="AC45" ca="1" si="92">AB47</f>
        <v>0</v>
      </c>
      <c r="AD45" s="17">
        <f t="shared" ref="AD45" ca="1" si="93">AC47</f>
        <v>2.6989110222057207</v>
      </c>
      <c r="AE45" s="17">
        <f t="shared" ref="AE45" ca="1" si="94">AD47</f>
        <v>0</v>
      </c>
      <c r="AF45" s="17">
        <f t="shared" ref="AF45" ca="1" si="95">AE47</f>
        <v>1.4152157575736055</v>
      </c>
      <c r="AG45" s="17">
        <f t="shared" ref="AG45" ca="1" si="96">AF47</f>
        <v>3.4184735340386396</v>
      </c>
      <c r="AH45" s="17">
        <f t="shared" ref="AH45" ca="1" si="97">AG47</f>
        <v>2.2913662421779009</v>
      </c>
      <c r="AI45" s="17">
        <f t="shared" ref="AI45" ca="1" si="98">AH47</f>
        <v>0</v>
      </c>
      <c r="AJ45" s="17">
        <f t="shared" ref="AJ45" ca="1" si="99">AI47</f>
        <v>1.4684992172260536</v>
      </c>
      <c r="AK45" s="17">
        <f t="shared" ref="AK45" ca="1" si="100">AJ47</f>
        <v>0</v>
      </c>
      <c r="AL45" s="17">
        <f t="shared" ref="AL45" ca="1" si="101">AK47</f>
        <v>0</v>
      </c>
      <c r="AM45" s="17">
        <f t="shared" ref="AM45" ca="1" si="102">AL47</f>
        <v>0</v>
      </c>
      <c r="AN45" s="17">
        <f t="shared" ref="AN45" ca="1" si="103">AM47</f>
        <v>0</v>
      </c>
      <c r="AO45" s="17">
        <f t="shared" ref="AO45" ca="1" si="104">AN47</f>
        <v>0</v>
      </c>
      <c r="AP45" s="17">
        <f t="shared" ref="AP45" ca="1" si="105">AO47</f>
        <v>0</v>
      </c>
      <c r="AQ45" s="17">
        <f t="shared" ref="AQ45" ca="1" si="106">AP47</f>
        <v>0</v>
      </c>
      <c r="AR45" s="17">
        <f t="shared" ref="AR45" ca="1" si="107">AQ47</f>
        <v>0</v>
      </c>
      <c r="AS45" s="17">
        <f t="shared" ref="AS45" ca="1" si="108">AR47</f>
        <v>14.676277287697303</v>
      </c>
      <c r="AT45" s="17">
        <f t="shared" ref="AT45" ca="1" si="109">AS47</f>
        <v>0</v>
      </c>
      <c r="AU45" s="17">
        <f t="shared" ref="AU45" ca="1" si="110">AT47</f>
        <v>19.402734734161641</v>
      </c>
      <c r="AV45" s="17">
        <f t="shared" ref="AV45" ca="1" si="111">AU47</f>
        <v>0</v>
      </c>
      <c r="AW45" s="17">
        <f t="shared" ref="AW45" ca="1" si="112">AV47</f>
        <v>0</v>
      </c>
      <c r="AX45" s="17">
        <f t="shared" ref="AX45" ca="1" si="113">AW47</f>
        <v>7.71419377309212</v>
      </c>
      <c r="AY45" s="17">
        <f t="shared" ref="AY45" ca="1" si="114">AX47</f>
        <v>0</v>
      </c>
      <c r="AZ45" s="17">
        <f t="shared" ref="AZ45" ca="1" si="115">AY47</f>
        <v>1.6150955380435335</v>
      </c>
      <c r="BA45" s="17">
        <f t="shared" ref="BA45" ca="1" si="116">AZ47</f>
        <v>0</v>
      </c>
      <c r="BB45" s="17">
        <f t="shared" ref="BB45" ca="1" si="117">BA47</f>
        <v>0</v>
      </c>
      <c r="BC45" s="17">
        <f t="shared" ref="BC45" ca="1" si="118">BB47</f>
        <v>0</v>
      </c>
      <c r="BD45" s="17">
        <f t="shared" ref="BD45" ca="1" si="119">BC47</f>
        <v>0</v>
      </c>
      <c r="BE45" s="17">
        <f t="shared" ref="BE45" ca="1" si="120">BD47</f>
        <v>0</v>
      </c>
      <c r="BF45" s="17">
        <f t="shared" ref="BF45" ca="1" si="121">BE47</f>
        <v>174.80453777300136</v>
      </c>
      <c r="BG45" s="17">
        <f t="shared" ref="BG45" ca="1" si="122">BF47</f>
        <v>96.842170698640984</v>
      </c>
      <c r="BH45" s="17">
        <f t="shared" ref="BH45" ca="1" si="123">BG47</f>
        <v>212.55130218800332</v>
      </c>
      <c r="BI45" s="17">
        <f t="shared" ref="BI45" ca="1" si="124">BH47</f>
        <v>512.26709497500269</v>
      </c>
      <c r="BJ45" s="17">
        <f t="shared" ref="BJ45" ca="1" si="125">BI47</f>
        <v>0</v>
      </c>
      <c r="BK45" s="17">
        <f t="shared" ref="BK45" ca="1" si="126">BJ47</f>
        <v>24.505232875802903</v>
      </c>
    </row>
    <row r="46" spans="1:63">
      <c r="A46" s="11" t="s">
        <v>222</v>
      </c>
      <c r="B46" s="30">
        <f ca="1">SUM(C46:BK46)</f>
        <v>-28320375.588609103</v>
      </c>
      <c r="C46" s="17">
        <f ca="1">IF(C42=0,-MIN(ABS(C34-C41),C45),0)</f>
        <v>0</v>
      </c>
      <c r="D46" s="17">
        <f t="shared" ref="D46:I46" ca="1" si="127">IF(D42=0,-MIN(ABS(D34-D41),D45),0)</f>
        <v>0</v>
      </c>
      <c r="E46" s="17">
        <f t="shared" ca="1" si="127"/>
        <v>0</v>
      </c>
      <c r="F46" s="17">
        <f t="shared" ca="1" si="127"/>
        <v>0</v>
      </c>
      <c r="G46" s="17">
        <f t="shared" ca="1" si="127"/>
        <v>0</v>
      </c>
      <c r="H46" s="17">
        <f t="shared" ca="1" si="127"/>
        <v>0</v>
      </c>
      <c r="I46" s="17">
        <f t="shared" ca="1" si="127"/>
        <v>0</v>
      </c>
      <c r="J46" s="17">
        <f t="shared" ref="J46:BK46" ca="1" si="128">IF(J42=0,-MIN(ABS(J34-J41),J45),0)</f>
        <v>-4306663.3322537132</v>
      </c>
      <c r="K46" s="17">
        <f t="shared" ca="1" si="128"/>
        <v>-4505623.5797664225</v>
      </c>
      <c r="L46" s="17">
        <f t="shared" ca="1" si="128"/>
        <v>-4535862.6642088555</v>
      </c>
      <c r="M46" s="17">
        <f t="shared" ca="1" si="128"/>
        <v>-4566304.695526639</v>
      </c>
      <c r="N46" s="17">
        <f t="shared" ca="1" si="128"/>
        <v>-1878830.230410211</v>
      </c>
      <c r="O46" s="17">
        <f t="shared" ca="1" si="128"/>
        <v>-1891439.8292861877</v>
      </c>
      <c r="P46" s="17">
        <f t="shared" ca="1" si="128"/>
        <v>-1904134.0563424379</v>
      </c>
      <c r="Q46" s="17">
        <f t="shared" ca="1" si="128"/>
        <v>-1916913.4795533258</v>
      </c>
      <c r="R46" s="17">
        <f t="shared" ca="1" si="128"/>
        <v>-1929778.6707051243</v>
      </c>
      <c r="S46" s="17">
        <f t="shared" ca="1" si="128"/>
        <v>-166166.23610232654</v>
      </c>
      <c r="T46" s="17">
        <f t="shared" ca="1" si="128"/>
        <v>-149316.46972356926</v>
      </c>
      <c r="U46" s="17">
        <f t="shared" ca="1" si="128"/>
        <v>-132353.61766431585</v>
      </c>
      <c r="V46" s="17">
        <f t="shared" ca="1" si="128"/>
        <v>-115276.92096026782</v>
      </c>
      <c r="W46" s="17">
        <f t="shared" ca="1" si="128"/>
        <v>-98085.615553406533</v>
      </c>
      <c r="X46" s="17">
        <f t="shared" ca="1" si="128"/>
        <v>-80778.932257807217</v>
      </c>
      <c r="Y46" s="17">
        <f t="shared" ca="1" si="128"/>
        <v>-63356.096725223426</v>
      </c>
      <c r="Z46" s="17">
        <f t="shared" ca="1" si="128"/>
        <v>-45816.329410440667</v>
      </c>
      <c r="AA46" s="17">
        <f t="shared" ca="1" si="128"/>
        <v>-28158.845536397304</v>
      </c>
      <c r="AB46" s="17">
        <f t="shared" ca="1" si="128"/>
        <v>-5516.4407641863945</v>
      </c>
      <c r="AC46" s="17">
        <f t="shared" ca="1" si="128"/>
        <v>0</v>
      </c>
      <c r="AD46" s="17">
        <f t="shared" ca="1" si="128"/>
        <v>0</v>
      </c>
      <c r="AE46" s="17">
        <f t="shared" ca="1" si="128"/>
        <v>0</v>
      </c>
      <c r="AF46" s="17">
        <f t="shared" ca="1" si="128"/>
        <v>0</v>
      </c>
      <c r="AG46" s="17">
        <f t="shared" ca="1" si="128"/>
        <v>0</v>
      </c>
      <c r="AH46" s="17">
        <f t="shared" ca="1" si="128"/>
        <v>0</v>
      </c>
      <c r="AI46" s="17">
        <f t="shared" ca="1" si="128"/>
        <v>0</v>
      </c>
      <c r="AJ46" s="17">
        <f t="shared" ca="1" si="128"/>
        <v>0</v>
      </c>
      <c r="AK46" s="17">
        <f t="shared" ca="1" si="128"/>
        <v>0</v>
      </c>
      <c r="AL46" s="17">
        <f t="shared" ca="1" si="128"/>
        <v>0</v>
      </c>
      <c r="AM46" s="17">
        <f t="shared" ca="1" si="128"/>
        <v>0</v>
      </c>
      <c r="AN46" s="17">
        <f t="shared" ca="1" si="128"/>
        <v>0</v>
      </c>
      <c r="AO46" s="17">
        <f t="shared" ca="1" si="128"/>
        <v>0</v>
      </c>
      <c r="AP46" s="17">
        <f t="shared" ca="1" si="128"/>
        <v>0</v>
      </c>
      <c r="AQ46" s="17">
        <f t="shared" ca="1" si="128"/>
        <v>0</v>
      </c>
      <c r="AR46" s="17">
        <f t="shared" ca="1" si="128"/>
        <v>0</v>
      </c>
      <c r="AS46" s="17">
        <f t="shared" ca="1" si="128"/>
        <v>0</v>
      </c>
      <c r="AT46" s="17">
        <f t="shared" ca="1" si="128"/>
        <v>0</v>
      </c>
      <c r="AU46" s="17">
        <f t="shared" ca="1" si="128"/>
        <v>0</v>
      </c>
      <c r="AV46" s="17">
        <f t="shared" ca="1" si="128"/>
        <v>0</v>
      </c>
      <c r="AW46" s="17">
        <f t="shared" ca="1" si="128"/>
        <v>0</v>
      </c>
      <c r="AX46" s="17">
        <f t="shared" ca="1" si="128"/>
        <v>0</v>
      </c>
      <c r="AY46" s="17">
        <f t="shared" ca="1" si="128"/>
        <v>0</v>
      </c>
      <c r="AZ46" s="17">
        <f t="shared" ca="1" si="128"/>
        <v>0</v>
      </c>
      <c r="BA46" s="17">
        <f t="shared" ca="1" si="128"/>
        <v>0</v>
      </c>
      <c r="BB46" s="17">
        <f t="shared" ca="1" si="128"/>
        <v>0</v>
      </c>
      <c r="BC46" s="17">
        <f t="shared" ca="1" si="128"/>
        <v>0</v>
      </c>
      <c r="BD46" s="17">
        <f t="shared" ca="1" si="128"/>
        <v>0</v>
      </c>
      <c r="BE46" s="17">
        <f t="shared" ca="1" si="128"/>
        <v>0</v>
      </c>
      <c r="BF46" s="17">
        <f t="shared" ca="1" si="128"/>
        <v>0</v>
      </c>
      <c r="BG46" s="17">
        <f t="shared" ca="1" si="128"/>
        <v>0</v>
      </c>
      <c r="BH46" s="17">
        <f t="shared" ca="1" si="128"/>
        <v>0</v>
      </c>
      <c r="BI46" s="17">
        <f t="shared" ca="1" si="128"/>
        <v>0</v>
      </c>
      <c r="BJ46" s="17">
        <f t="shared" ca="1" si="128"/>
        <v>0</v>
      </c>
      <c r="BK46" s="17">
        <f t="shared" ca="1" si="128"/>
        <v>0</v>
      </c>
    </row>
    <row r="47" spans="1:63">
      <c r="A47" s="11" t="s">
        <v>223</v>
      </c>
      <c r="C47" s="17">
        <f ca="1">SUM(C45:C46)</f>
        <v>28320377.108124945</v>
      </c>
      <c r="D47" s="17">
        <f t="shared" ref="D47:I47" ca="1" si="129">SUM(D45:D46)</f>
        <v>28320377.13232379</v>
      </c>
      <c r="E47" s="17">
        <f t="shared" ca="1" si="129"/>
        <v>28320377.114578336</v>
      </c>
      <c r="F47" s="17">
        <f t="shared" ca="1" si="129"/>
        <v>28320377.101770833</v>
      </c>
      <c r="G47" s="17">
        <f t="shared" ca="1" si="129"/>
        <v>28320377.123170719</v>
      </c>
      <c r="H47" s="17">
        <f t="shared" ca="1" si="129"/>
        <v>28320377.047765218</v>
      </c>
      <c r="I47" s="17">
        <f t="shared" ca="1" si="129"/>
        <v>28320377.153785139</v>
      </c>
      <c r="J47" s="17">
        <f t="shared" ref="J47:BK47" ca="1" si="130">SUM(J45:J46)</f>
        <v>24013713.73083242</v>
      </c>
      <c r="K47" s="17">
        <f t="shared" ca="1" si="130"/>
        <v>19508089.996138882</v>
      </c>
      <c r="L47" s="17">
        <f t="shared" ca="1" si="130"/>
        <v>14972227.159278452</v>
      </c>
      <c r="M47" s="17">
        <f t="shared" ca="1" si="130"/>
        <v>10405922.727251699</v>
      </c>
      <c r="N47" s="17">
        <f t="shared" ca="1" si="130"/>
        <v>8527092.3572614025</v>
      </c>
      <c r="O47" s="17">
        <f t="shared" ca="1" si="130"/>
        <v>6635652.3536115754</v>
      </c>
      <c r="P47" s="17">
        <f t="shared" ca="1" si="130"/>
        <v>4731518.5661012046</v>
      </c>
      <c r="Q47" s="17">
        <f t="shared" ca="1" si="130"/>
        <v>2814605.1476818984</v>
      </c>
      <c r="R47" s="17">
        <f t="shared" ca="1" si="130"/>
        <v>884826.46508129733</v>
      </c>
      <c r="S47" s="17">
        <f t="shared" ca="1" si="130"/>
        <v>718660.57448337786</v>
      </c>
      <c r="T47" s="17">
        <f t="shared" ca="1" si="130"/>
        <v>569343.23414657114</v>
      </c>
      <c r="U47" s="17">
        <f t="shared" ca="1" si="130"/>
        <v>436990.32832536136</v>
      </c>
      <c r="V47" s="17">
        <f t="shared" ca="1" si="130"/>
        <v>321713.25468741823</v>
      </c>
      <c r="W47" s="17">
        <f t="shared" ca="1" si="130"/>
        <v>223626.73867650511</v>
      </c>
      <c r="X47" s="17">
        <f t="shared" ca="1" si="130"/>
        <v>142848.23640604864</v>
      </c>
      <c r="Y47" s="17">
        <f t="shared" ca="1" si="130"/>
        <v>79492.794812841094</v>
      </c>
      <c r="Z47" s="17">
        <f t="shared" ca="1" si="130"/>
        <v>33675.462746224468</v>
      </c>
      <c r="AA47" s="17">
        <f t="shared" ca="1" si="130"/>
        <v>5516.5910340469418</v>
      </c>
      <c r="AB47" s="17">
        <f t="shared" ca="1" si="130"/>
        <v>0</v>
      </c>
      <c r="AC47" s="17">
        <f t="shared" ca="1" si="130"/>
        <v>0</v>
      </c>
      <c r="AD47" s="17">
        <f t="shared" ca="1" si="130"/>
        <v>2.6989110222057207</v>
      </c>
      <c r="AE47" s="17">
        <f t="shared" ca="1" si="130"/>
        <v>0</v>
      </c>
      <c r="AF47" s="17">
        <f t="shared" ca="1" si="130"/>
        <v>1.4152157575736055</v>
      </c>
      <c r="AG47" s="17">
        <f t="shared" ca="1" si="130"/>
        <v>3.4184735340386396</v>
      </c>
      <c r="AH47" s="17">
        <f t="shared" ca="1" si="130"/>
        <v>2.2913662421779009</v>
      </c>
      <c r="AI47" s="17">
        <f t="shared" ca="1" si="130"/>
        <v>0</v>
      </c>
      <c r="AJ47" s="17">
        <f t="shared" ca="1" si="130"/>
        <v>1.4684992172260536</v>
      </c>
      <c r="AK47" s="17">
        <f t="shared" ca="1" si="130"/>
        <v>0</v>
      </c>
      <c r="AL47" s="17">
        <f t="shared" ca="1" si="130"/>
        <v>0</v>
      </c>
      <c r="AM47" s="17">
        <f t="shared" ca="1" si="130"/>
        <v>0</v>
      </c>
      <c r="AN47" s="17">
        <f t="shared" ca="1" si="130"/>
        <v>0</v>
      </c>
      <c r="AO47" s="17">
        <f t="shared" ca="1" si="130"/>
        <v>0</v>
      </c>
      <c r="AP47" s="17">
        <f t="shared" ca="1" si="130"/>
        <v>0</v>
      </c>
      <c r="AQ47" s="17">
        <f t="shared" ca="1" si="130"/>
        <v>0</v>
      </c>
      <c r="AR47" s="17">
        <f t="shared" ca="1" si="130"/>
        <v>0</v>
      </c>
      <c r="AS47" s="17">
        <f t="shared" ca="1" si="130"/>
        <v>14.676277287697303</v>
      </c>
      <c r="AT47" s="17">
        <f t="shared" ca="1" si="130"/>
        <v>0</v>
      </c>
      <c r="AU47" s="17">
        <f t="shared" ca="1" si="130"/>
        <v>19.402734734161641</v>
      </c>
      <c r="AV47" s="17">
        <f t="shared" ca="1" si="130"/>
        <v>0</v>
      </c>
      <c r="AW47" s="17">
        <f t="shared" ca="1" si="130"/>
        <v>0</v>
      </c>
      <c r="AX47" s="17">
        <f t="shared" ca="1" si="130"/>
        <v>7.71419377309212</v>
      </c>
      <c r="AY47" s="17">
        <f t="shared" ca="1" si="130"/>
        <v>0</v>
      </c>
      <c r="AZ47" s="17">
        <f t="shared" ca="1" si="130"/>
        <v>1.6150955380435335</v>
      </c>
      <c r="BA47" s="17">
        <f t="shared" ca="1" si="130"/>
        <v>0</v>
      </c>
      <c r="BB47" s="17">
        <f t="shared" ca="1" si="130"/>
        <v>0</v>
      </c>
      <c r="BC47" s="17">
        <f t="shared" ca="1" si="130"/>
        <v>0</v>
      </c>
      <c r="BD47" s="17">
        <f t="shared" ca="1" si="130"/>
        <v>0</v>
      </c>
      <c r="BE47" s="17">
        <f t="shared" ca="1" si="130"/>
        <v>0</v>
      </c>
      <c r="BF47" s="17">
        <f t="shared" ca="1" si="130"/>
        <v>174.80453777300136</v>
      </c>
      <c r="BG47" s="17">
        <f t="shared" ca="1" si="130"/>
        <v>96.842170698640984</v>
      </c>
      <c r="BH47" s="17">
        <f t="shared" ca="1" si="130"/>
        <v>212.55130218800332</v>
      </c>
      <c r="BI47" s="17">
        <f t="shared" ca="1" si="130"/>
        <v>512.26709497500269</v>
      </c>
      <c r="BJ47" s="17">
        <f t="shared" ca="1" si="130"/>
        <v>0</v>
      </c>
      <c r="BK47" s="17">
        <f t="shared" ca="1" si="130"/>
        <v>24.505232875802903</v>
      </c>
    </row>
    <row r="48" spans="1:63">
      <c r="A48" s="11" t="s">
        <v>224</v>
      </c>
      <c r="B48" s="31">
        <f>Inputs!L96</f>
        <v>27</v>
      </c>
      <c r="C48" s="104" t="s">
        <v>225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</row>
    <row r="49" spans="1:63">
      <c r="A49" s="11" t="s">
        <v>226</v>
      </c>
      <c r="B49" s="20">
        <f>Inputs!L61</f>
        <v>0.08</v>
      </c>
      <c r="C49" s="17">
        <f ca="1">IF(C8&gt;=$B$48,0,SUM($C46:C$46)*$B49/12)</f>
        <v>0</v>
      </c>
      <c r="D49" s="17">
        <f ca="1">IF(D8&gt;=$B$48,0,SUM($C46:D$46)*$B49/12)</f>
        <v>0</v>
      </c>
      <c r="E49" s="17">
        <f ca="1">IF(E8&gt;=$B$48,0,SUM($C46:E$46)*$B49/12)</f>
        <v>0</v>
      </c>
      <c r="F49" s="17">
        <f ca="1">IF(F8&gt;=$B$48,0,SUM($C46:F$46)*$B49/12)</f>
        <v>0</v>
      </c>
      <c r="G49" s="17">
        <f ca="1">IF(G8&gt;=$B$48,0,SUM($C46:G$46)*$B49/12)</f>
        <v>0</v>
      </c>
      <c r="H49" s="17">
        <f ca="1">IF(H8&gt;=$B$48,0,SUM($C46:H$46)*$B49/12)</f>
        <v>0</v>
      </c>
      <c r="I49" s="17">
        <f ca="1">IF(I8&gt;=$B$48,0,SUM($C46:I$46)*$B49/12)</f>
        <v>0</v>
      </c>
      <c r="J49" s="17">
        <f ca="1">IF(J8&gt;=$B$48,0,SUM($C46:J$46)*$B49/12)</f>
        <v>-28711.088881691423</v>
      </c>
      <c r="K49" s="17">
        <f ca="1">IF(K8&gt;=$B$48,0,SUM($C46:K$46)*$B49/12)</f>
        <v>-58748.579413467574</v>
      </c>
      <c r="L49" s="17">
        <f ca="1">IF(L8&gt;=$B$48,0,SUM($C46:L$46)*$B49/12)</f>
        <v>-88987.663841526606</v>
      </c>
      <c r="M49" s="17">
        <f ca="1">IF(M8&gt;=$B$48,0,SUM($C46:M$46)*$B49/12)</f>
        <v>-119429.69514503753</v>
      </c>
      <c r="N49" s="17">
        <f ca="1">IF(N8&gt;=$B$48,0,SUM($C46:N$46)*$B49/12)</f>
        <v>-131955.23001443894</v>
      </c>
      <c r="O49" s="17">
        <f ca="1">IF(O8&gt;=$B$48,0,SUM($C46:O$46)*$B49/12)</f>
        <v>-144564.82887634684</v>
      </c>
      <c r="P49" s="17">
        <f ca="1">IF(P8&gt;=$B$48,0,SUM($C46:P$46)*$B49/12)</f>
        <v>-157259.05591862978</v>
      </c>
      <c r="Q49" s="17">
        <f ca="1">IF(Q8&gt;=$B$48,0,SUM($C46:Q$46)*$B49/12)</f>
        <v>-170038.47911565195</v>
      </c>
      <c r="R49" s="17">
        <f ca="1">IF(R8&gt;=$B$48,0,SUM($C46:R$46)*$B49/12)</f>
        <v>-182903.67025368611</v>
      </c>
      <c r="S49" s="17">
        <f ca="1">IF(S8&gt;=$B$48,0,SUM($C46:S$46)*$B49/12)</f>
        <v>-184011.44516103496</v>
      </c>
      <c r="T49" s="17">
        <f ca="1">IF(T8&gt;=$B$48,0,SUM($C46:T$46)*$B49/12)</f>
        <v>-185006.88829252543</v>
      </c>
      <c r="U49" s="17">
        <f ca="1">IF(U8&gt;=$B$48,0,SUM($C46:U$46)*$B49/12)</f>
        <v>-185889.24574362088</v>
      </c>
      <c r="V49" s="17">
        <f ca="1">IF(V8&gt;=$B$48,0,SUM($C46:V$46)*$B49/12)</f>
        <v>-186657.75855002264</v>
      </c>
      <c r="W49" s="17">
        <f ca="1">IF(W8&gt;=$B$48,0,SUM($C46:W$46)*$B49/12)</f>
        <v>-187311.662653712</v>
      </c>
      <c r="X49" s="17">
        <f ca="1">IF(X8&gt;=$B$48,0,SUM($C46:X$46)*$B49/12)</f>
        <v>-187850.18886876409</v>
      </c>
      <c r="Y49" s="17">
        <f ca="1">IF(Y8&gt;=$B$48,0,SUM($C46:Y$46)*$B49/12)</f>
        <v>-188272.56284693221</v>
      </c>
      <c r="Z49" s="17">
        <f ca="1">IF(Z8&gt;=$B$48,0,SUM($C46:Z$46)*$B49/12)</f>
        <v>-188578.00504300182</v>
      </c>
      <c r="AA49" s="17">
        <f ca="1">IF(AA8&gt;=$B$48,0,SUM($C46:AA$46)*$B49/12)</f>
        <v>-188765.73067991112</v>
      </c>
      <c r="AB49" s="17">
        <f ca="1">IF(AB8&gt;=$B$48,0,SUM($C46:AB$46)*$B49/12)</f>
        <v>-188802.50695167237</v>
      </c>
      <c r="AC49" s="17">
        <f ca="1">IF(AC8&gt;=$B$48,0,SUM($C46:AC$46)*$B49/12)</f>
        <v>-188802.50695167237</v>
      </c>
      <c r="AD49" s="17">
        <f>IF(AD8&gt;=$B$48,0,SUM($C46:AD$46)*$B49/12)</f>
        <v>0</v>
      </c>
      <c r="AE49" s="17">
        <f>IF(AE8&gt;=$B$48,0,SUM($C46:AE$46)*$B49/12)</f>
        <v>0</v>
      </c>
      <c r="AF49" s="17">
        <f>IF(AF8&gt;=$B$48,0,SUM($C46:AF$46)*$B49/12)</f>
        <v>0</v>
      </c>
      <c r="AG49" s="17">
        <f>IF(AG8&gt;=$B$48,0,SUM($C46:AG$46)*$B49/12)</f>
        <v>0</v>
      </c>
      <c r="AH49" s="17">
        <f>IF(AH8&gt;=$B$48,0,SUM($C46:AH$46)*$B49/12)</f>
        <v>0</v>
      </c>
      <c r="AI49" s="17">
        <f>IF(AI8&gt;=$B$48,0,SUM($C46:AI$46)*$B49/12)</f>
        <v>0</v>
      </c>
      <c r="AJ49" s="17">
        <f>IF(AJ8&gt;=$B$48,0,SUM($C46:AJ$46)*$B49/12)</f>
        <v>0</v>
      </c>
      <c r="AK49" s="17">
        <f>IF(AK8&gt;=$B$48,0,SUM($C46:AK$46)*$B49/12)</f>
        <v>0</v>
      </c>
      <c r="AL49" s="17">
        <f>IF(AL8&gt;=$B$48,0,SUM($C46:AL$46)*$B49/12)</f>
        <v>0</v>
      </c>
      <c r="AM49" s="17">
        <f>IF(AM8&gt;=$B$48,0,SUM($C46:AM$46)*$B49/12)</f>
        <v>0</v>
      </c>
      <c r="AN49" s="17">
        <f>IF(AN8&gt;=$B$48,0,SUM($C46:AN$46)*$B49/12)</f>
        <v>0</v>
      </c>
      <c r="AO49" s="17">
        <f>IF(AO8&gt;=$B$48,0,SUM($C46:AO$46)*$B49/12)</f>
        <v>0</v>
      </c>
      <c r="AP49" s="17">
        <f>IF(AP8&gt;=$B$48,0,SUM($C46:AP$46)*$B49/12)</f>
        <v>0</v>
      </c>
      <c r="AQ49" s="17">
        <f>IF(AQ8&gt;=$B$48,0,SUM($C46:AQ$46)*$B49/12)</f>
        <v>0</v>
      </c>
      <c r="AR49" s="17">
        <f>IF(AR8&gt;=$B$48,0,SUM($C46:AR$46)*$B49/12)</f>
        <v>0</v>
      </c>
      <c r="AS49" s="17">
        <f>IF(AS8&gt;=$B$48,0,SUM($C46:AS$46)*$B49/12)</f>
        <v>0</v>
      </c>
      <c r="AT49" s="17">
        <f>IF(AT8&gt;=$B$48,0,SUM($C46:AT$46)*$B49/12)</f>
        <v>0</v>
      </c>
      <c r="AU49" s="17">
        <f>IF(AU8&gt;=$B$48,0,SUM($C46:AU$46)*$B49/12)</f>
        <v>0</v>
      </c>
      <c r="AV49" s="17">
        <f>IF(AV8&gt;=$B$48,0,SUM($C46:AV$46)*$B49/12)</f>
        <v>0</v>
      </c>
      <c r="AW49" s="17">
        <f>IF(AW8&gt;=$B$48,0,SUM($C46:AW$46)*$B49/12)</f>
        <v>0</v>
      </c>
      <c r="AX49" s="17">
        <f>IF(AX8&gt;=$B$48,0,SUM($C46:AX$46)*$B49/12)</f>
        <v>0</v>
      </c>
      <c r="AY49" s="17">
        <f>IF(AY8&gt;=$B$48,0,SUM($C46:AY$46)*$B49/12)</f>
        <v>0</v>
      </c>
      <c r="AZ49" s="17">
        <f>IF(AZ8&gt;=$B$48,0,SUM($C46:AZ$46)*$B49/12)</f>
        <v>0</v>
      </c>
      <c r="BA49" s="17">
        <f>IF(BA8&gt;=$B$48,0,SUM($C46:BA$46)*$B49/12)</f>
        <v>0</v>
      </c>
      <c r="BB49" s="17">
        <f>IF(BB8&gt;=$B$48,0,SUM($C46:BB$46)*$B49/12)</f>
        <v>0</v>
      </c>
      <c r="BC49" s="17">
        <f>IF(BC8&gt;=$B$48,0,SUM($C46:BC$46)*$B49/12)</f>
        <v>0</v>
      </c>
      <c r="BD49" s="17">
        <f>IF(BD8&gt;=$B$48,0,SUM($C46:BD$46)*$B49/12)</f>
        <v>0</v>
      </c>
      <c r="BE49" s="17">
        <f>IF(BE8&gt;=$B$48,0,SUM($C46:BE$46)*$B49/12)</f>
        <v>0</v>
      </c>
      <c r="BF49" s="17">
        <f>IF(BF8&gt;=$B$48,0,SUM($C46:BF$46)*$B49/12)</f>
        <v>0</v>
      </c>
      <c r="BG49" s="17">
        <f>IF(BG8&gt;=$B$48,0,SUM($C46:BG$46)*$B49/12)</f>
        <v>0</v>
      </c>
      <c r="BH49" s="17">
        <f>IF(BH8&gt;=$B$48,0,SUM($C46:BH$46)*$B49/12)</f>
        <v>0</v>
      </c>
      <c r="BI49" s="17">
        <f>IF(BI8&gt;=$B$48,0,SUM($C46:BI$46)*$B49/12)</f>
        <v>0</v>
      </c>
      <c r="BJ49" s="17">
        <f>IF(BJ8&gt;=$B$48,0,SUM($C46:BJ$46)*$B49/12)</f>
        <v>0</v>
      </c>
      <c r="BK49" s="17">
        <f>IF(BK8&gt;=$B$48,0,SUM($C46:BK$46)*$B49/12)</f>
        <v>0</v>
      </c>
    </row>
    <row r="50" spans="1:63"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</row>
    <row r="51" spans="1:63">
      <c r="A51" s="102" t="s">
        <v>227</v>
      </c>
      <c r="B51" s="99"/>
      <c r="C51" s="17"/>
      <c r="D51" s="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</row>
    <row r="52" spans="1:63">
      <c r="A52" s="11" t="s">
        <v>221</v>
      </c>
      <c r="B52" s="99"/>
      <c r="C52" s="29">
        <f ca="1">Inputs!L66</f>
        <v>0</v>
      </c>
      <c r="D52" s="17">
        <f t="shared" ref="D52:I52" ca="1" si="131">IF(D8&gt;$B$48,0,C54)</f>
        <v>0</v>
      </c>
      <c r="E52" s="17">
        <f t="shared" ca="1" si="131"/>
        <v>0</v>
      </c>
      <c r="F52" s="17">
        <f t="shared" ca="1" si="131"/>
        <v>0</v>
      </c>
      <c r="G52" s="17">
        <f t="shared" ca="1" si="131"/>
        <v>0</v>
      </c>
      <c r="H52" s="17">
        <f t="shared" ca="1" si="131"/>
        <v>0</v>
      </c>
      <c r="I52" s="17">
        <f t="shared" ca="1" si="131"/>
        <v>0</v>
      </c>
      <c r="J52" s="17">
        <f t="shared" ref="J52" ca="1" si="132">IF(J8&gt;$B$48,0,I54)</f>
        <v>0</v>
      </c>
      <c r="K52" s="17">
        <f t="shared" ref="K52" ca="1" si="133">IF(K8&gt;$B$48,0,J54)</f>
        <v>0</v>
      </c>
      <c r="L52" s="17">
        <f t="shared" ref="L52" ca="1" si="134">IF(L8&gt;$B$48,0,K54)</f>
        <v>0</v>
      </c>
      <c r="M52" s="17">
        <f t="shared" ref="M52" ca="1" si="135">IF(M8&gt;$B$48,0,L54)</f>
        <v>0</v>
      </c>
      <c r="N52" s="17">
        <f t="shared" ref="N52" ca="1" si="136">IF(N8&gt;$B$48,0,M54)</f>
        <v>0</v>
      </c>
      <c r="O52" s="17">
        <f t="shared" ref="O52" ca="1" si="137">IF(O8&gt;$B$48,0,N54)</f>
        <v>0</v>
      </c>
      <c r="P52" s="17">
        <f t="shared" ref="P52" ca="1" si="138">IF(P8&gt;$B$48,0,O54)</f>
        <v>0</v>
      </c>
      <c r="Q52" s="17">
        <f t="shared" ref="Q52" ca="1" si="139">IF(Q8&gt;$B$48,0,P54)</f>
        <v>0</v>
      </c>
      <c r="R52" s="17">
        <f t="shared" ref="R52" ca="1" si="140">IF(R8&gt;$B$48,0,Q54)</f>
        <v>0</v>
      </c>
      <c r="S52" s="17">
        <f t="shared" ref="S52" ca="1" si="141">IF(S8&gt;$B$48,0,R54)</f>
        <v>0</v>
      </c>
      <c r="T52" s="17">
        <f t="shared" ref="T52" ca="1" si="142">IF(T8&gt;$B$48,0,S54)</f>
        <v>0</v>
      </c>
      <c r="U52" s="17">
        <f t="shared" ref="U52" ca="1" si="143">IF(U8&gt;$B$48,0,T54)</f>
        <v>0</v>
      </c>
      <c r="V52" s="17">
        <f t="shared" ref="V52" ca="1" si="144">IF(V8&gt;$B$48,0,U54)</f>
        <v>0</v>
      </c>
      <c r="W52" s="17">
        <f t="shared" ref="W52" ca="1" si="145">IF(W8&gt;$B$48,0,V54)</f>
        <v>0</v>
      </c>
      <c r="X52" s="17">
        <f t="shared" ref="X52" ca="1" si="146">IF(X8&gt;$B$48,0,W54)</f>
        <v>0</v>
      </c>
      <c r="Y52" s="17">
        <f t="shared" ref="Y52" ca="1" si="147">IF(Y8&gt;$B$48,0,X54)</f>
        <v>0</v>
      </c>
      <c r="Z52" s="17">
        <f t="shared" ref="Z52" ca="1" si="148">IF(Z8&gt;$B$48,0,Y54)</f>
        <v>0</v>
      </c>
      <c r="AA52" s="17">
        <f t="shared" ref="AA52" ca="1" si="149">IF(AA8&gt;$B$48,0,Z54)</f>
        <v>0</v>
      </c>
      <c r="AB52" s="17">
        <f t="shared" ref="AB52" ca="1" si="150">IF(AB8&gt;$B$48,0,AA54)</f>
        <v>0</v>
      </c>
      <c r="AC52" s="17">
        <f t="shared" ref="AC52" ca="1" si="151">IF(AC8&gt;$B$48,0,AB54)</f>
        <v>-1.4816967914666748</v>
      </c>
      <c r="AD52" s="17">
        <f t="shared" ref="AD52" ca="1" si="152">IF(AD8&gt;$B$48,0,AC54)</f>
        <v>0</v>
      </c>
      <c r="AE52" s="17">
        <f t="shared" ref="AE52" si="153">IF(AE8&gt;$B$48,0,AD54)</f>
        <v>0</v>
      </c>
      <c r="AF52" s="17">
        <f t="shared" ref="AF52" si="154">IF(AF8&gt;$B$48,0,AE54)</f>
        <v>0</v>
      </c>
      <c r="AG52" s="17">
        <f t="shared" ref="AG52" si="155">IF(AG8&gt;$B$48,0,AF54)</f>
        <v>0</v>
      </c>
      <c r="AH52" s="17">
        <f t="shared" ref="AH52" si="156">IF(AH8&gt;$B$48,0,AG54)</f>
        <v>0</v>
      </c>
      <c r="AI52" s="17">
        <f t="shared" ref="AI52" si="157">IF(AI8&gt;$B$48,0,AH54)</f>
        <v>0</v>
      </c>
      <c r="AJ52" s="17">
        <f t="shared" ref="AJ52" si="158">IF(AJ8&gt;$B$48,0,AI54)</f>
        <v>0</v>
      </c>
      <c r="AK52" s="17">
        <f t="shared" ref="AK52" si="159">IF(AK8&gt;$B$48,0,AJ54)</f>
        <v>0</v>
      </c>
      <c r="AL52" s="17">
        <f t="shared" ref="AL52" si="160">IF(AL8&gt;$B$48,0,AK54)</f>
        <v>0</v>
      </c>
      <c r="AM52" s="17">
        <f t="shared" ref="AM52" si="161">IF(AM8&gt;$B$48,0,AL54)</f>
        <v>0</v>
      </c>
      <c r="AN52" s="17">
        <f t="shared" ref="AN52" si="162">IF(AN8&gt;$B$48,0,AM54)</f>
        <v>0</v>
      </c>
      <c r="AO52" s="17">
        <f t="shared" ref="AO52" si="163">IF(AO8&gt;$B$48,0,AN54)</f>
        <v>0</v>
      </c>
      <c r="AP52" s="17">
        <f t="shared" ref="AP52" si="164">IF(AP8&gt;$B$48,0,AO54)</f>
        <v>0</v>
      </c>
      <c r="AQ52" s="17">
        <f t="shared" ref="AQ52" si="165">IF(AQ8&gt;$B$48,0,AP54)</f>
        <v>0</v>
      </c>
      <c r="AR52" s="17">
        <f t="shared" ref="AR52" si="166">IF(AR8&gt;$B$48,0,AQ54)</f>
        <v>0</v>
      </c>
      <c r="AS52" s="17">
        <f t="shared" ref="AS52" si="167">IF(AS8&gt;$B$48,0,AR54)</f>
        <v>0</v>
      </c>
      <c r="AT52" s="17">
        <f t="shared" ref="AT52" si="168">IF(AT8&gt;$B$48,0,AS54)</f>
        <v>0</v>
      </c>
      <c r="AU52" s="17">
        <f t="shared" ref="AU52" si="169">IF(AU8&gt;$B$48,0,AT54)</f>
        <v>0</v>
      </c>
      <c r="AV52" s="17">
        <f t="shared" ref="AV52" si="170">IF(AV8&gt;$B$48,0,AU54)</f>
        <v>0</v>
      </c>
      <c r="AW52" s="17">
        <f t="shared" ref="AW52" si="171">IF(AW8&gt;$B$48,0,AV54)</f>
        <v>0</v>
      </c>
      <c r="AX52" s="17">
        <f t="shared" ref="AX52" si="172">IF(AX8&gt;$B$48,0,AW54)</f>
        <v>0</v>
      </c>
      <c r="AY52" s="17">
        <f t="shared" ref="AY52" si="173">IF(AY8&gt;$B$48,0,AX54)</f>
        <v>0</v>
      </c>
      <c r="AZ52" s="17">
        <f t="shared" ref="AZ52" si="174">IF(AZ8&gt;$B$48,0,AY54)</f>
        <v>0</v>
      </c>
      <c r="BA52" s="17">
        <f t="shared" ref="BA52" si="175">IF(BA8&gt;$B$48,0,AZ54)</f>
        <v>0</v>
      </c>
      <c r="BB52" s="17">
        <f t="shared" ref="BB52" si="176">IF(BB8&gt;$B$48,0,BA54)</f>
        <v>0</v>
      </c>
      <c r="BC52" s="17">
        <f t="shared" ref="BC52" si="177">IF(BC8&gt;$B$48,0,BB54)</f>
        <v>0</v>
      </c>
      <c r="BD52" s="17">
        <f t="shared" ref="BD52" si="178">IF(BD8&gt;$B$48,0,BC54)</f>
        <v>0</v>
      </c>
      <c r="BE52" s="17">
        <f t="shared" ref="BE52" si="179">IF(BE8&gt;$B$48,0,BD54)</f>
        <v>0</v>
      </c>
      <c r="BF52" s="17">
        <f t="shared" ref="BF52" si="180">IF(BF8&gt;$B$48,0,BE54)</f>
        <v>0</v>
      </c>
      <c r="BG52" s="17">
        <f t="shared" ref="BG52" si="181">IF(BG8&gt;$B$48,0,BF54)</f>
        <v>0</v>
      </c>
      <c r="BH52" s="17">
        <f t="shared" ref="BH52" si="182">IF(BH8&gt;$B$48,0,BG54)</f>
        <v>0</v>
      </c>
      <c r="BI52" s="17">
        <f t="shared" ref="BI52" si="183">IF(BI8&gt;$B$48,0,BH54)</f>
        <v>0</v>
      </c>
      <c r="BJ52" s="17">
        <f t="shared" ref="BJ52" si="184">IF(BJ8&gt;$B$48,0,BI54)</f>
        <v>0</v>
      </c>
      <c r="BK52" s="17">
        <f t="shared" ref="BK52" si="185">IF(BK8&gt;$B$48,0,BJ54)</f>
        <v>0</v>
      </c>
    </row>
    <row r="53" spans="1:63">
      <c r="A53" s="11" t="s">
        <v>228</v>
      </c>
      <c r="B53" s="100">
        <f ca="1">SUM(C53:BK53)</f>
        <v>-1.4816967914666748</v>
      </c>
      <c r="C53" s="17">
        <f ca="1">IF(AND(C42=0,C47=0),C34-C46,0)</f>
        <v>0</v>
      </c>
      <c r="D53" s="17">
        <f t="shared" ref="D53:I53" ca="1" si="186">IF(AND(D42=0,D47=0),D34-D46,0)</f>
        <v>0</v>
      </c>
      <c r="E53" s="17">
        <f t="shared" ca="1" si="186"/>
        <v>0</v>
      </c>
      <c r="F53" s="17">
        <f t="shared" ca="1" si="186"/>
        <v>0</v>
      </c>
      <c r="G53" s="17">
        <f t="shared" ca="1" si="186"/>
        <v>0</v>
      </c>
      <c r="H53" s="17">
        <f t="shared" ca="1" si="186"/>
        <v>0</v>
      </c>
      <c r="I53" s="17">
        <f t="shared" ca="1" si="186"/>
        <v>0</v>
      </c>
      <c r="J53" s="17">
        <f t="shared" ref="J53:BK53" ca="1" si="187">IF(AND(J42=0,J47=0),J34-J46,0)</f>
        <v>0</v>
      </c>
      <c r="K53" s="17">
        <f t="shared" ca="1" si="187"/>
        <v>0</v>
      </c>
      <c r="L53" s="17">
        <f t="shared" ca="1" si="187"/>
        <v>0</v>
      </c>
      <c r="M53" s="17">
        <f t="shared" ca="1" si="187"/>
        <v>0</v>
      </c>
      <c r="N53" s="17">
        <f t="shared" ca="1" si="187"/>
        <v>0</v>
      </c>
      <c r="O53" s="17">
        <f t="shared" ca="1" si="187"/>
        <v>0</v>
      </c>
      <c r="P53" s="17">
        <f t="shared" ca="1" si="187"/>
        <v>0</v>
      </c>
      <c r="Q53" s="17">
        <f t="shared" ca="1" si="187"/>
        <v>0</v>
      </c>
      <c r="R53" s="17">
        <f t="shared" ca="1" si="187"/>
        <v>0</v>
      </c>
      <c r="S53" s="17">
        <f t="shared" ca="1" si="187"/>
        <v>0</v>
      </c>
      <c r="T53" s="17">
        <f t="shared" ca="1" si="187"/>
        <v>0</v>
      </c>
      <c r="U53" s="17">
        <f t="shared" ca="1" si="187"/>
        <v>0</v>
      </c>
      <c r="V53" s="17">
        <f t="shared" ca="1" si="187"/>
        <v>0</v>
      </c>
      <c r="W53" s="17">
        <f t="shared" ca="1" si="187"/>
        <v>0</v>
      </c>
      <c r="X53" s="17">
        <f t="shared" ca="1" si="187"/>
        <v>0</v>
      </c>
      <c r="Y53" s="17">
        <f t="shared" ca="1" si="187"/>
        <v>0</v>
      </c>
      <c r="Z53" s="17">
        <f t="shared" ca="1" si="187"/>
        <v>0</v>
      </c>
      <c r="AA53" s="17">
        <f t="shared" ca="1" si="187"/>
        <v>0</v>
      </c>
      <c r="AB53" s="17">
        <f t="shared" ca="1" si="187"/>
        <v>-0.93018368388584349</v>
      </c>
      <c r="AC53" s="17">
        <f t="shared" ca="1" si="187"/>
        <v>0</v>
      </c>
      <c r="AD53" s="17">
        <f t="shared" ca="1" si="187"/>
        <v>0</v>
      </c>
      <c r="AE53" s="17">
        <f t="shared" ca="1" si="187"/>
        <v>0</v>
      </c>
      <c r="AF53" s="17">
        <f t="shared" ca="1" si="187"/>
        <v>0</v>
      </c>
      <c r="AG53" s="17">
        <f t="shared" ca="1" si="187"/>
        <v>0</v>
      </c>
      <c r="AH53" s="17">
        <f t="shared" ca="1" si="187"/>
        <v>0</v>
      </c>
      <c r="AI53" s="17">
        <f t="shared" ca="1" si="187"/>
        <v>0</v>
      </c>
      <c r="AJ53" s="17">
        <f t="shared" ca="1" si="187"/>
        <v>0</v>
      </c>
      <c r="AK53" s="17">
        <f t="shared" ca="1" si="187"/>
        <v>0</v>
      </c>
      <c r="AL53" s="17">
        <f t="shared" ca="1" si="187"/>
        <v>0</v>
      </c>
      <c r="AM53" s="17">
        <f t="shared" ca="1" si="187"/>
        <v>0</v>
      </c>
      <c r="AN53" s="17">
        <f t="shared" ca="1" si="187"/>
        <v>0</v>
      </c>
      <c r="AO53" s="17">
        <f t="shared" ca="1" si="187"/>
        <v>0</v>
      </c>
      <c r="AP53" s="17">
        <f t="shared" ca="1" si="187"/>
        <v>0</v>
      </c>
      <c r="AQ53" s="17">
        <f t="shared" ca="1" si="187"/>
        <v>0</v>
      </c>
      <c r="AR53" s="17">
        <f t="shared" ca="1" si="187"/>
        <v>0</v>
      </c>
      <c r="AS53" s="17">
        <f t="shared" ca="1" si="187"/>
        <v>0</v>
      </c>
      <c r="AT53" s="17">
        <f t="shared" ca="1" si="187"/>
        <v>0</v>
      </c>
      <c r="AU53" s="17">
        <f t="shared" ca="1" si="187"/>
        <v>0</v>
      </c>
      <c r="AV53" s="17">
        <f t="shared" ca="1" si="187"/>
        <v>0</v>
      </c>
      <c r="AW53" s="17">
        <f t="shared" ca="1" si="187"/>
        <v>0</v>
      </c>
      <c r="AX53" s="17">
        <f t="shared" ca="1" si="187"/>
        <v>0</v>
      </c>
      <c r="AY53" s="17">
        <f t="shared" ca="1" si="187"/>
        <v>0</v>
      </c>
      <c r="AZ53" s="17">
        <f t="shared" ca="1" si="187"/>
        <v>0</v>
      </c>
      <c r="BA53" s="17">
        <f t="shared" ca="1" si="187"/>
        <v>0</v>
      </c>
      <c r="BB53" s="17">
        <f t="shared" ca="1" si="187"/>
        <v>0</v>
      </c>
      <c r="BC53" s="17">
        <f t="shared" ca="1" si="187"/>
        <v>0</v>
      </c>
      <c r="BD53" s="17">
        <f t="shared" ca="1" si="187"/>
        <v>0</v>
      </c>
      <c r="BE53" s="17">
        <f t="shared" ca="1" si="187"/>
        <v>0</v>
      </c>
      <c r="BF53" s="17">
        <f t="shared" ca="1" si="187"/>
        <v>0</v>
      </c>
      <c r="BG53" s="17">
        <f t="shared" ca="1" si="187"/>
        <v>0</v>
      </c>
      <c r="BH53" s="17">
        <f t="shared" ca="1" si="187"/>
        <v>0</v>
      </c>
      <c r="BI53" s="17">
        <f t="shared" ca="1" si="187"/>
        <v>0</v>
      </c>
      <c r="BJ53" s="17">
        <f t="shared" ca="1" si="187"/>
        <v>0</v>
      </c>
      <c r="BK53" s="17">
        <f t="shared" ca="1" si="187"/>
        <v>0</v>
      </c>
    </row>
    <row r="54" spans="1:63">
      <c r="A54" s="11" t="s">
        <v>229</v>
      </c>
      <c r="B54" s="99"/>
      <c r="C54" s="17">
        <f t="shared" ref="C54:I54" ca="1" si="188">SUM(C52:C53)</f>
        <v>0</v>
      </c>
      <c r="D54" s="17">
        <f t="shared" ca="1" si="188"/>
        <v>0</v>
      </c>
      <c r="E54" s="17">
        <f t="shared" ca="1" si="188"/>
        <v>0</v>
      </c>
      <c r="F54" s="17">
        <f t="shared" ca="1" si="188"/>
        <v>0</v>
      </c>
      <c r="G54" s="17">
        <f t="shared" ca="1" si="188"/>
        <v>0</v>
      </c>
      <c r="H54" s="17">
        <f t="shared" ca="1" si="188"/>
        <v>0</v>
      </c>
      <c r="I54" s="17">
        <f t="shared" ca="1" si="188"/>
        <v>0</v>
      </c>
      <c r="J54" s="17">
        <f t="shared" ref="J54:BK54" ca="1" si="189">SUM(J52:J53)</f>
        <v>0</v>
      </c>
      <c r="K54" s="17">
        <f t="shared" ca="1" si="189"/>
        <v>0</v>
      </c>
      <c r="L54" s="17">
        <f t="shared" ca="1" si="189"/>
        <v>0</v>
      </c>
      <c r="M54" s="17">
        <f t="shared" ca="1" si="189"/>
        <v>0</v>
      </c>
      <c r="N54" s="17">
        <f t="shared" ca="1" si="189"/>
        <v>0</v>
      </c>
      <c r="O54" s="17">
        <f t="shared" ca="1" si="189"/>
        <v>0</v>
      </c>
      <c r="P54" s="17">
        <f t="shared" ca="1" si="189"/>
        <v>0</v>
      </c>
      <c r="Q54" s="17">
        <f t="shared" ca="1" si="189"/>
        <v>0</v>
      </c>
      <c r="R54" s="17">
        <f t="shared" ca="1" si="189"/>
        <v>0</v>
      </c>
      <c r="S54" s="17">
        <f t="shared" ca="1" si="189"/>
        <v>0</v>
      </c>
      <c r="T54" s="17">
        <f t="shared" ca="1" si="189"/>
        <v>0</v>
      </c>
      <c r="U54" s="17">
        <f t="shared" ca="1" si="189"/>
        <v>0</v>
      </c>
      <c r="V54" s="17">
        <f t="shared" ca="1" si="189"/>
        <v>0</v>
      </c>
      <c r="W54" s="17">
        <f t="shared" ca="1" si="189"/>
        <v>0</v>
      </c>
      <c r="X54" s="17">
        <f t="shared" ca="1" si="189"/>
        <v>0</v>
      </c>
      <c r="Y54" s="17">
        <f t="shared" ca="1" si="189"/>
        <v>0</v>
      </c>
      <c r="Z54" s="17">
        <f t="shared" ca="1" si="189"/>
        <v>0</v>
      </c>
      <c r="AA54" s="17">
        <f t="shared" ca="1" si="189"/>
        <v>0</v>
      </c>
      <c r="AB54" s="17">
        <f t="shared" ca="1" si="189"/>
        <v>-0.93018368388584349</v>
      </c>
      <c r="AC54" s="17">
        <f t="shared" ca="1" si="189"/>
        <v>-1.4816967914666748</v>
      </c>
      <c r="AD54" s="17">
        <f t="shared" ca="1" si="189"/>
        <v>0</v>
      </c>
      <c r="AE54" s="17">
        <f t="shared" ca="1" si="189"/>
        <v>0</v>
      </c>
      <c r="AF54" s="17">
        <f t="shared" ca="1" si="189"/>
        <v>0</v>
      </c>
      <c r="AG54" s="17">
        <f t="shared" ca="1" si="189"/>
        <v>0</v>
      </c>
      <c r="AH54" s="17">
        <f t="shared" ca="1" si="189"/>
        <v>0</v>
      </c>
      <c r="AI54" s="17">
        <f t="shared" ca="1" si="189"/>
        <v>0</v>
      </c>
      <c r="AJ54" s="17">
        <f t="shared" ca="1" si="189"/>
        <v>0</v>
      </c>
      <c r="AK54" s="17">
        <f t="shared" ca="1" si="189"/>
        <v>0</v>
      </c>
      <c r="AL54" s="17">
        <f t="shared" ca="1" si="189"/>
        <v>0</v>
      </c>
      <c r="AM54" s="17">
        <f t="shared" ca="1" si="189"/>
        <v>0</v>
      </c>
      <c r="AN54" s="17">
        <f t="shared" ca="1" si="189"/>
        <v>0</v>
      </c>
      <c r="AO54" s="17">
        <f t="shared" ca="1" si="189"/>
        <v>0</v>
      </c>
      <c r="AP54" s="17">
        <f t="shared" ca="1" si="189"/>
        <v>0</v>
      </c>
      <c r="AQ54" s="17">
        <f t="shared" ca="1" si="189"/>
        <v>0</v>
      </c>
      <c r="AR54" s="17">
        <f t="shared" ca="1" si="189"/>
        <v>0</v>
      </c>
      <c r="AS54" s="17">
        <f t="shared" ca="1" si="189"/>
        <v>0</v>
      </c>
      <c r="AT54" s="17">
        <f t="shared" ca="1" si="189"/>
        <v>0</v>
      </c>
      <c r="AU54" s="17">
        <f t="shared" ca="1" si="189"/>
        <v>0</v>
      </c>
      <c r="AV54" s="17">
        <f t="shared" ca="1" si="189"/>
        <v>0</v>
      </c>
      <c r="AW54" s="17">
        <f t="shared" ca="1" si="189"/>
        <v>0</v>
      </c>
      <c r="AX54" s="17">
        <f t="shared" ca="1" si="189"/>
        <v>0</v>
      </c>
      <c r="AY54" s="17">
        <f t="shared" ca="1" si="189"/>
        <v>0</v>
      </c>
      <c r="AZ54" s="17">
        <f t="shared" ca="1" si="189"/>
        <v>0</v>
      </c>
      <c r="BA54" s="17">
        <f t="shared" ca="1" si="189"/>
        <v>0</v>
      </c>
      <c r="BB54" s="17">
        <f t="shared" ca="1" si="189"/>
        <v>0</v>
      </c>
      <c r="BC54" s="17">
        <f t="shared" ca="1" si="189"/>
        <v>0</v>
      </c>
      <c r="BD54" s="17">
        <f t="shared" ca="1" si="189"/>
        <v>0</v>
      </c>
      <c r="BE54" s="17">
        <f t="shared" ca="1" si="189"/>
        <v>0</v>
      </c>
      <c r="BF54" s="17">
        <f t="shared" ca="1" si="189"/>
        <v>0</v>
      </c>
      <c r="BG54" s="17">
        <f t="shared" ca="1" si="189"/>
        <v>0</v>
      </c>
      <c r="BH54" s="17">
        <f t="shared" ca="1" si="189"/>
        <v>0</v>
      </c>
      <c r="BI54" s="17">
        <f t="shared" ca="1" si="189"/>
        <v>0</v>
      </c>
      <c r="BJ54" s="17">
        <f t="shared" ca="1" si="189"/>
        <v>0</v>
      </c>
      <c r="BK54" s="17">
        <f t="shared" ca="1" si="189"/>
        <v>0</v>
      </c>
    </row>
    <row r="55" spans="1:63">
      <c r="A55" s="11"/>
      <c r="B55" s="99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</row>
    <row r="56" spans="1:63">
      <c r="A56" s="102" t="s">
        <v>230</v>
      </c>
      <c r="B56" s="99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</row>
    <row r="57" spans="1:63">
      <c r="A57" s="11" t="s">
        <v>231</v>
      </c>
      <c r="B57" s="99"/>
      <c r="C57" s="101">
        <v>0</v>
      </c>
      <c r="D57" s="17">
        <f t="shared" ref="D57:I57" ca="1" si="190">IF(D8&gt;$B$48,0,C60)</f>
        <v>0</v>
      </c>
      <c r="E57" s="17">
        <f t="shared" ca="1" si="190"/>
        <v>0</v>
      </c>
      <c r="F57" s="17">
        <f t="shared" ca="1" si="190"/>
        <v>0</v>
      </c>
      <c r="G57" s="17">
        <f t="shared" ca="1" si="190"/>
        <v>0</v>
      </c>
      <c r="H57" s="17">
        <f t="shared" ca="1" si="190"/>
        <v>0</v>
      </c>
      <c r="I57" s="17">
        <f t="shared" ca="1" si="190"/>
        <v>0</v>
      </c>
      <c r="J57" s="17">
        <f t="shared" ref="J57" ca="1" si="191">IF(J8&gt;$B$48,0,I60)</f>
        <v>0</v>
      </c>
      <c r="K57" s="17">
        <f t="shared" ref="K57" ca="1" si="192">IF(K8&gt;$B$48,0,J60)</f>
        <v>0</v>
      </c>
      <c r="L57" s="17">
        <f t="shared" ref="L57" ca="1" si="193">IF(L8&gt;$B$48,0,K60)</f>
        <v>0</v>
      </c>
      <c r="M57" s="17">
        <f t="shared" ref="M57" ca="1" si="194">IF(M8&gt;$B$48,0,L60)</f>
        <v>0</v>
      </c>
      <c r="N57" s="17">
        <f t="shared" ref="N57" ca="1" si="195">IF(N8&gt;$B$48,0,M60)</f>
        <v>0</v>
      </c>
      <c r="O57" s="17">
        <f t="shared" ref="O57" ca="1" si="196">IF(O8&gt;$B$48,0,N60)</f>
        <v>0</v>
      </c>
      <c r="P57" s="17">
        <f t="shared" ref="P57" ca="1" si="197">IF(P8&gt;$B$48,0,O60)</f>
        <v>0</v>
      </c>
      <c r="Q57" s="17">
        <f t="shared" ref="Q57" ca="1" si="198">IF(Q8&gt;$B$48,0,P60)</f>
        <v>0</v>
      </c>
      <c r="R57" s="17">
        <f t="shared" ref="R57" ca="1" si="199">IF(R8&gt;$B$48,0,Q60)</f>
        <v>0</v>
      </c>
      <c r="S57" s="17">
        <f t="shared" ref="S57" ca="1" si="200">IF(S8&gt;$B$48,0,R60)</f>
        <v>0</v>
      </c>
      <c r="T57" s="17">
        <f t="shared" ref="T57" ca="1" si="201">IF(T8&gt;$B$48,0,S60)</f>
        <v>0</v>
      </c>
      <c r="U57" s="17">
        <f t="shared" ref="U57" ca="1" si="202">IF(U8&gt;$B$48,0,T60)</f>
        <v>0</v>
      </c>
      <c r="V57" s="17">
        <f t="shared" ref="V57" ca="1" si="203">IF(V8&gt;$B$48,0,U60)</f>
        <v>0</v>
      </c>
      <c r="W57" s="17">
        <f t="shared" ref="W57" ca="1" si="204">IF(W8&gt;$B$48,0,V60)</f>
        <v>0</v>
      </c>
      <c r="X57" s="17">
        <f t="shared" ref="X57" ca="1" si="205">IF(X8&gt;$B$48,0,W60)</f>
        <v>0</v>
      </c>
      <c r="Y57" s="17">
        <f t="shared" ref="Y57" ca="1" si="206">IF(Y8&gt;$B$48,0,X60)</f>
        <v>0</v>
      </c>
      <c r="Z57" s="17">
        <f t="shared" ref="Z57" ca="1" si="207">IF(Z8&gt;$B$48,0,Y60)</f>
        <v>0</v>
      </c>
      <c r="AA57" s="17">
        <f t="shared" ref="AA57" ca="1" si="208">IF(AA8&gt;$B$48,0,Z60)</f>
        <v>0</v>
      </c>
      <c r="AB57" s="17">
        <f t="shared" ref="AB57" ca="1" si="209">IF(AB8&gt;$B$48,0,AA60)</f>
        <v>0</v>
      </c>
      <c r="AC57" s="17">
        <f t="shared" ref="AC57" ca="1" si="210">IF(AC8&gt;$B$48,0,AB60)</f>
        <v>-1.4816967914666748</v>
      </c>
      <c r="AD57" s="17">
        <f t="shared" ref="AD57" ca="1" si="211">IF(AD8&gt;$B$48,0,AC60)</f>
        <v>0</v>
      </c>
      <c r="AE57" s="17">
        <f t="shared" ref="AE57" si="212">IF(AE8&gt;$B$48,0,AD60)</f>
        <v>0</v>
      </c>
      <c r="AF57" s="17">
        <f t="shared" ref="AF57" si="213">IF(AF8&gt;$B$48,0,AE60)</f>
        <v>0</v>
      </c>
      <c r="AG57" s="17">
        <f t="shared" ref="AG57" si="214">IF(AG8&gt;$B$48,0,AF60)</f>
        <v>0</v>
      </c>
      <c r="AH57" s="17">
        <f t="shared" ref="AH57" si="215">IF(AH8&gt;$B$48,0,AG60)</f>
        <v>0</v>
      </c>
      <c r="AI57" s="17">
        <f t="shared" ref="AI57" si="216">IF(AI8&gt;$B$48,0,AH60)</f>
        <v>0</v>
      </c>
      <c r="AJ57" s="17">
        <f t="shared" ref="AJ57" si="217">IF(AJ8&gt;$B$48,0,AI60)</f>
        <v>0</v>
      </c>
      <c r="AK57" s="17">
        <f t="shared" ref="AK57" si="218">IF(AK8&gt;$B$48,0,AJ60)</f>
        <v>0</v>
      </c>
      <c r="AL57" s="17">
        <f t="shared" ref="AL57" si="219">IF(AL8&gt;$B$48,0,AK60)</f>
        <v>0</v>
      </c>
      <c r="AM57" s="17">
        <f t="shared" ref="AM57" si="220">IF(AM8&gt;$B$48,0,AL60)</f>
        <v>0</v>
      </c>
      <c r="AN57" s="17">
        <f t="shared" ref="AN57" si="221">IF(AN8&gt;$B$48,0,AM60)</f>
        <v>0</v>
      </c>
      <c r="AO57" s="17">
        <f t="shared" ref="AO57" si="222">IF(AO8&gt;$B$48,0,AN60)</f>
        <v>0</v>
      </c>
      <c r="AP57" s="17">
        <f t="shared" ref="AP57" si="223">IF(AP8&gt;$B$48,0,AO60)</f>
        <v>0</v>
      </c>
      <c r="AQ57" s="17">
        <f t="shared" ref="AQ57" si="224">IF(AQ8&gt;$B$48,0,AP60)</f>
        <v>0</v>
      </c>
      <c r="AR57" s="17">
        <f t="shared" ref="AR57" si="225">IF(AR8&gt;$B$48,0,AQ60)</f>
        <v>0</v>
      </c>
      <c r="AS57" s="17">
        <f t="shared" ref="AS57" si="226">IF(AS8&gt;$B$48,0,AR60)</f>
        <v>0</v>
      </c>
      <c r="AT57" s="17">
        <f t="shared" ref="AT57" si="227">IF(AT8&gt;$B$48,0,AS60)</f>
        <v>0</v>
      </c>
      <c r="AU57" s="17">
        <f t="shared" ref="AU57" si="228">IF(AU8&gt;$B$48,0,AT60)</f>
        <v>0</v>
      </c>
      <c r="AV57" s="17">
        <f t="shared" ref="AV57" si="229">IF(AV8&gt;$B$48,0,AU60)</f>
        <v>0</v>
      </c>
      <c r="AW57" s="17">
        <f t="shared" ref="AW57" si="230">IF(AW8&gt;$B$48,0,AV60)</f>
        <v>0</v>
      </c>
      <c r="AX57" s="17">
        <f t="shared" ref="AX57" si="231">IF(AX8&gt;$B$48,0,AW60)</f>
        <v>0</v>
      </c>
      <c r="AY57" s="17">
        <f t="shared" ref="AY57" si="232">IF(AY8&gt;$B$48,0,AX60)</f>
        <v>0</v>
      </c>
      <c r="AZ57" s="17">
        <f t="shared" ref="AZ57" si="233">IF(AZ8&gt;$B$48,0,AY60)</f>
        <v>0</v>
      </c>
      <c r="BA57" s="17">
        <f t="shared" ref="BA57" si="234">IF(BA8&gt;$B$48,0,AZ60)</f>
        <v>0</v>
      </c>
      <c r="BB57" s="17">
        <f t="shared" ref="BB57" si="235">IF(BB8&gt;$B$48,0,BA60)</f>
        <v>0</v>
      </c>
      <c r="BC57" s="17">
        <f t="shared" ref="BC57" si="236">IF(BC8&gt;$B$48,0,BB60)</f>
        <v>0</v>
      </c>
      <c r="BD57" s="17">
        <f t="shared" ref="BD57" si="237">IF(BD8&gt;$B$48,0,BC60)</f>
        <v>0</v>
      </c>
      <c r="BE57" s="17">
        <f t="shared" ref="BE57" si="238">IF(BE8&gt;$B$48,0,BD60)</f>
        <v>0</v>
      </c>
      <c r="BF57" s="17">
        <f t="shared" ref="BF57" si="239">IF(BF8&gt;$B$48,0,BE60)</f>
        <v>0</v>
      </c>
      <c r="BG57" s="17">
        <f t="shared" ref="BG57" si="240">IF(BG8&gt;$B$48,0,BF60)</f>
        <v>0</v>
      </c>
      <c r="BH57" s="17">
        <f t="shared" ref="BH57" si="241">IF(BH8&gt;$B$48,0,BG60)</f>
        <v>0</v>
      </c>
      <c r="BI57" s="17">
        <f t="shared" ref="BI57" si="242">IF(BI8&gt;$B$48,0,BH60)</f>
        <v>0</v>
      </c>
      <c r="BJ57" s="17">
        <f t="shared" ref="BJ57" si="243">IF(BJ8&gt;$B$48,0,BI60)</f>
        <v>0</v>
      </c>
      <c r="BK57" s="17">
        <f t="shared" ref="BK57" si="244">IF(BK8&gt;$B$48,0,BJ60)</f>
        <v>0</v>
      </c>
    </row>
    <row r="58" spans="1:63">
      <c r="A58" s="11" t="s">
        <v>232</v>
      </c>
      <c r="B58" s="99"/>
      <c r="C58" s="17">
        <f ca="1">C53</f>
        <v>0</v>
      </c>
      <c r="D58" s="17">
        <f ca="1">D53</f>
        <v>0</v>
      </c>
      <c r="E58" s="17">
        <f t="shared" ref="E58:I58" ca="1" si="245">E53</f>
        <v>0</v>
      </c>
      <c r="F58" s="17">
        <f t="shared" ca="1" si="245"/>
        <v>0</v>
      </c>
      <c r="G58" s="17">
        <f t="shared" ca="1" si="245"/>
        <v>0</v>
      </c>
      <c r="H58" s="17">
        <f t="shared" ca="1" si="245"/>
        <v>0</v>
      </c>
      <c r="I58" s="17">
        <f t="shared" ca="1" si="245"/>
        <v>0</v>
      </c>
      <c r="J58" s="17">
        <f t="shared" ref="J58:BK58" ca="1" si="246">J53</f>
        <v>0</v>
      </c>
      <c r="K58" s="17">
        <f t="shared" ca="1" si="246"/>
        <v>0</v>
      </c>
      <c r="L58" s="17">
        <f t="shared" ca="1" si="246"/>
        <v>0</v>
      </c>
      <c r="M58" s="17">
        <f t="shared" ca="1" si="246"/>
        <v>0</v>
      </c>
      <c r="N58" s="17">
        <f t="shared" ca="1" si="246"/>
        <v>0</v>
      </c>
      <c r="O58" s="17">
        <f t="shared" ca="1" si="246"/>
        <v>0</v>
      </c>
      <c r="P58" s="17">
        <f t="shared" ca="1" si="246"/>
        <v>0</v>
      </c>
      <c r="Q58" s="17">
        <f t="shared" ca="1" si="246"/>
        <v>0</v>
      </c>
      <c r="R58" s="17">
        <f t="shared" ca="1" si="246"/>
        <v>0</v>
      </c>
      <c r="S58" s="17">
        <f t="shared" ca="1" si="246"/>
        <v>0</v>
      </c>
      <c r="T58" s="17">
        <f t="shared" ca="1" si="246"/>
        <v>0</v>
      </c>
      <c r="U58" s="17">
        <f t="shared" ca="1" si="246"/>
        <v>0</v>
      </c>
      <c r="V58" s="17">
        <f t="shared" ca="1" si="246"/>
        <v>0</v>
      </c>
      <c r="W58" s="17">
        <f t="shared" ca="1" si="246"/>
        <v>0</v>
      </c>
      <c r="X58" s="17">
        <f t="shared" ca="1" si="246"/>
        <v>0</v>
      </c>
      <c r="Y58" s="17">
        <f t="shared" ca="1" si="246"/>
        <v>0</v>
      </c>
      <c r="Z58" s="17">
        <f t="shared" ca="1" si="246"/>
        <v>0</v>
      </c>
      <c r="AA58" s="17">
        <f t="shared" ca="1" si="246"/>
        <v>0</v>
      </c>
      <c r="AB58" s="17">
        <f t="shared" ca="1" si="246"/>
        <v>-0.93018368388584349</v>
      </c>
      <c r="AC58" s="17">
        <f t="shared" ca="1" si="246"/>
        <v>0</v>
      </c>
      <c r="AD58" s="17">
        <f t="shared" ca="1" si="246"/>
        <v>0</v>
      </c>
      <c r="AE58" s="17">
        <f t="shared" ca="1" si="246"/>
        <v>0</v>
      </c>
      <c r="AF58" s="17">
        <f t="shared" ca="1" si="246"/>
        <v>0</v>
      </c>
      <c r="AG58" s="17">
        <f t="shared" ca="1" si="246"/>
        <v>0</v>
      </c>
      <c r="AH58" s="17">
        <f t="shared" ca="1" si="246"/>
        <v>0</v>
      </c>
      <c r="AI58" s="17">
        <f t="shared" ca="1" si="246"/>
        <v>0</v>
      </c>
      <c r="AJ58" s="17">
        <f t="shared" ca="1" si="246"/>
        <v>0</v>
      </c>
      <c r="AK58" s="17">
        <f t="shared" ca="1" si="246"/>
        <v>0</v>
      </c>
      <c r="AL58" s="17">
        <f t="shared" ca="1" si="246"/>
        <v>0</v>
      </c>
      <c r="AM58" s="17">
        <f t="shared" ca="1" si="246"/>
        <v>0</v>
      </c>
      <c r="AN58" s="17">
        <f t="shared" ca="1" si="246"/>
        <v>0</v>
      </c>
      <c r="AO58" s="17">
        <f t="shared" ca="1" si="246"/>
        <v>0</v>
      </c>
      <c r="AP58" s="17">
        <f t="shared" ca="1" si="246"/>
        <v>0</v>
      </c>
      <c r="AQ58" s="17">
        <f t="shared" ca="1" si="246"/>
        <v>0</v>
      </c>
      <c r="AR58" s="17">
        <f t="shared" ca="1" si="246"/>
        <v>0</v>
      </c>
      <c r="AS58" s="17">
        <f t="shared" ca="1" si="246"/>
        <v>0</v>
      </c>
      <c r="AT58" s="17">
        <f t="shared" ca="1" si="246"/>
        <v>0</v>
      </c>
      <c r="AU58" s="17">
        <f t="shared" ca="1" si="246"/>
        <v>0</v>
      </c>
      <c r="AV58" s="17">
        <f t="shared" ca="1" si="246"/>
        <v>0</v>
      </c>
      <c r="AW58" s="17">
        <f t="shared" ca="1" si="246"/>
        <v>0</v>
      </c>
      <c r="AX58" s="17">
        <f t="shared" ca="1" si="246"/>
        <v>0</v>
      </c>
      <c r="AY58" s="17">
        <f t="shared" ca="1" si="246"/>
        <v>0</v>
      </c>
      <c r="AZ58" s="17">
        <f t="shared" ca="1" si="246"/>
        <v>0</v>
      </c>
      <c r="BA58" s="17">
        <f t="shared" ca="1" si="246"/>
        <v>0</v>
      </c>
      <c r="BB58" s="17">
        <f t="shared" ca="1" si="246"/>
        <v>0</v>
      </c>
      <c r="BC58" s="17">
        <f t="shared" ca="1" si="246"/>
        <v>0</v>
      </c>
      <c r="BD58" s="17">
        <f t="shared" ca="1" si="246"/>
        <v>0</v>
      </c>
      <c r="BE58" s="17">
        <f t="shared" ca="1" si="246"/>
        <v>0</v>
      </c>
      <c r="BF58" s="17">
        <f t="shared" ca="1" si="246"/>
        <v>0</v>
      </c>
      <c r="BG58" s="17">
        <f t="shared" ca="1" si="246"/>
        <v>0</v>
      </c>
      <c r="BH58" s="17">
        <f t="shared" ca="1" si="246"/>
        <v>0</v>
      </c>
      <c r="BI58" s="17">
        <f t="shared" ca="1" si="246"/>
        <v>0</v>
      </c>
      <c r="BJ58" s="17">
        <f t="shared" ca="1" si="246"/>
        <v>0</v>
      </c>
      <c r="BK58" s="17">
        <f t="shared" ca="1" si="246"/>
        <v>0</v>
      </c>
    </row>
    <row r="59" spans="1:63">
      <c r="A59" s="11" t="s">
        <v>166</v>
      </c>
      <c r="B59" s="99">
        <f>Inputs!L68</f>
        <v>0.17</v>
      </c>
      <c r="C59" s="17">
        <f t="shared" ref="C59:I59" si="247">C57*$B$59/12</f>
        <v>0</v>
      </c>
      <c r="D59" s="17">
        <f t="shared" ca="1" si="247"/>
        <v>0</v>
      </c>
      <c r="E59" s="17">
        <f t="shared" ca="1" si="247"/>
        <v>0</v>
      </c>
      <c r="F59" s="17">
        <f t="shared" ca="1" si="247"/>
        <v>0</v>
      </c>
      <c r="G59" s="17">
        <f t="shared" ca="1" si="247"/>
        <v>0</v>
      </c>
      <c r="H59" s="17">
        <f t="shared" ca="1" si="247"/>
        <v>0</v>
      </c>
      <c r="I59" s="17">
        <f t="shared" ca="1" si="247"/>
        <v>0</v>
      </c>
      <c r="J59" s="17">
        <f t="shared" ref="J59:BK59" ca="1" si="248">J57*$B$59/12</f>
        <v>0</v>
      </c>
      <c r="K59" s="17">
        <f t="shared" ca="1" si="248"/>
        <v>0</v>
      </c>
      <c r="L59" s="17">
        <f t="shared" ca="1" si="248"/>
        <v>0</v>
      </c>
      <c r="M59" s="17">
        <f t="shared" ca="1" si="248"/>
        <v>0</v>
      </c>
      <c r="N59" s="17">
        <f t="shared" ca="1" si="248"/>
        <v>0</v>
      </c>
      <c r="O59" s="17">
        <f t="shared" ca="1" si="248"/>
        <v>0</v>
      </c>
      <c r="P59" s="17">
        <f t="shared" ca="1" si="248"/>
        <v>0</v>
      </c>
      <c r="Q59" s="17">
        <f t="shared" ca="1" si="248"/>
        <v>0</v>
      </c>
      <c r="R59" s="17">
        <f t="shared" ca="1" si="248"/>
        <v>0</v>
      </c>
      <c r="S59" s="17">
        <f t="shared" ca="1" si="248"/>
        <v>0</v>
      </c>
      <c r="T59" s="17">
        <f t="shared" ca="1" si="248"/>
        <v>0</v>
      </c>
      <c r="U59" s="17">
        <f t="shared" ca="1" si="248"/>
        <v>0</v>
      </c>
      <c r="V59" s="17">
        <f t="shared" ca="1" si="248"/>
        <v>0</v>
      </c>
      <c r="W59" s="17">
        <f t="shared" ca="1" si="248"/>
        <v>0</v>
      </c>
      <c r="X59" s="17">
        <f t="shared" ca="1" si="248"/>
        <v>0</v>
      </c>
      <c r="Y59" s="17">
        <f t="shared" ca="1" si="248"/>
        <v>0</v>
      </c>
      <c r="Z59" s="17">
        <f t="shared" ca="1" si="248"/>
        <v>0</v>
      </c>
      <c r="AA59" s="17">
        <f t="shared" ca="1" si="248"/>
        <v>0</v>
      </c>
      <c r="AB59" s="17">
        <f t="shared" ca="1" si="248"/>
        <v>0</v>
      </c>
      <c r="AC59" s="17">
        <f t="shared" ca="1" si="248"/>
        <v>-2.0990704545777894E-2</v>
      </c>
      <c r="AD59" s="17">
        <f t="shared" ca="1" si="248"/>
        <v>0</v>
      </c>
      <c r="AE59" s="17">
        <f t="shared" si="248"/>
        <v>0</v>
      </c>
      <c r="AF59" s="17">
        <f t="shared" si="248"/>
        <v>0</v>
      </c>
      <c r="AG59" s="17">
        <f t="shared" si="248"/>
        <v>0</v>
      </c>
      <c r="AH59" s="17">
        <f t="shared" si="248"/>
        <v>0</v>
      </c>
      <c r="AI59" s="17">
        <f t="shared" si="248"/>
        <v>0</v>
      </c>
      <c r="AJ59" s="17">
        <f t="shared" si="248"/>
        <v>0</v>
      </c>
      <c r="AK59" s="17">
        <f t="shared" si="248"/>
        <v>0</v>
      </c>
      <c r="AL59" s="17">
        <f t="shared" si="248"/>
        <v>0</v>
      </c>
      <c r="AM59" s="17">
        <f t="shared" si="248"/>
        <v>0</v>
      </c>
      <c r="AN59" s="17">
        <f t="shared" si="248"/>
        <v>0</v>
      </c>
      <c r="AO59" s="17">
        <f t="shared" si="248"/>
        <v>0</v>
      </c>
      <c r="AP59" s="17">
        <f t="shared" si="248"/>
        <v>0</v>
      </c>
      <c r="AQ59" s="17">
        <f t="shared" si="248"/>
        <v>0</v>
      </c>
      <c r="AR59" s="17">
        <f t="shared" si="248"/>
        <v>0</v>
      </c>
      <c r="AS59" s="17">
        <f t="shared" si="248"/>
        <v>0</v>
      </c>
      <c r="AT59" s="17">
        <f t="shared" si="248"/>
        <v>0</v>
      </c>
      <c r="AU59" s="17">
        <f t="shared" si="248"/>
        <v>0</v>
      </c>
      <c r="AV59" s="17">
        <f t="shared" si="248"/>
        <v>0</v>
      </c>
      <c r="AW59" s="17">
        <f t="shared" si="248"/>
        <v>0</v>
      </c>
      <c r="AX59" s="17">
        <f t="shared" si="248"/>
        <v>0</v>
      </c>
      <c r="AY59" s="17">
        <f t="shared" si="248"/>
        <v>0</v>
      </c>
      <c r="AZ59" s="17">
        <f t="shared" si="248"/>
        <v>0</v>
      </c>
      <c r="BA59" s="17">
        <f t="shared" si="248"/>
        <v>0</v>
      </c>
      <c r="BB59" s="17">
        <f t="shared" si="248"/>
        <v>0</v>
      </c>
      <c r="BC59" s="17">
        <f t="shared" si="248"/>
        <v>0</v>
      </c>
      <c r="BD59" s="17">
        <f t="shared" si="248"/>
        <v>0</v>
      </c>
      <c r="BE59" s="17">
        <f t="shared" si="248"/>
        <v>0</v>
      </c>
      <c r="BF59" s="17">
        <f t="shared" si="248"/>
        <v>0</v>
      </c>
      <c r="BG59" s="17">
        <f t="shared" si="248"/>
        <v>0</v>
      </c>
      <c r="BH59" s="17">
        <f t="shared" si="248"/>
        <v>0</v>
      </c>
      <c r="BI59" s="17">
        <f t="shared" si="248"/>
        <v>0</v>
      </c>
      <c r="BJ59" s="17">
        <f t="shared" si="248"/>
        <v>0</v>
      </c>
      <c r="BK59" s="17">
        <f t="shared" si="248"/>
        <v>0</v>
      </c>
    </row>
    <row r="60" spans="1:63">
      <c r="A60" s="11" t="s">
        <v>233</v>
      </c>
      <c r="B60" s="100">
        <f ca="1">MIN(C60:BK60)</f>
        <v>-1.4816967914666748</v>
      </c>
      <c r="C60" s="17">
        <f ca="1">SUM(C57:C59)</f>
        <v>0</v>
      </c>
      <c r="D60" s="17">
        <f ca="1">SUM(D57:D59)</f>
        <v>0</v>
      </c>
      <c r="E60" s="17">
        <f t="shared" ref="E60:I60" ca="1" si="249">SUM(E57:E59)</f>
        <v>0</v>
      </c>
      <c r="F60" s="17">
        <f t="shared" ca="1" si="249"/>
        <v>0</v>
      </c>
      <c r="G60" s="17">
        <f t="shared" ca="1" si="249"/>
        <v>0</v>
      </c>
      <c r="H60" s="17">
        <f t="shared" ca="1" si="249"/>
        <v>0</v>
      </c>
      <c r="I60" s="17">
        <f t="shared" ca="1" si="249"/>
        <v>0</v>
      </c>
      <c r="J60" s="17">
        <f t="shared" ref="J60:BK60" ca="1" si="250">SUM(J57:J59)</f>
        <v>0</v>
      </c>
      <c r="K60" s="17">
        <f t="shared" ca="1" si="250"/>
        <v>0</v>
      </c>
      <c r="L60" s="17">
        <f t="shared" ca="1" si="250"/>
        <v>0</v>
      </c>
      <c r="M60" s="17">
        <f t="shared" ca="1" si="250"/>
        <v>0</v>
      </c>
      <c r="N60" s="17">
        <f t="shared" ca="1" si="250"/>
        <v>0</v>
      </c>
      <c r="O60" s="17">
        <f t="shared" ca="1" si="250"/>
        <v>0</v>
      </c>
      <c r="P60" s="17">
        <f t="shared" ca="1" si="250"/>
        <v>0</v>
      </c>
      <c r="Q60" s="17">
        <f t="shared" ca="1" si="250"/>
        <v>0</v>
      </c>
      <c r="R60" s="17">
        <f t="shared" ca="1" si="250"/>
        <v>0</v>
      </c>
      <c r="S60" s="17">
        <f t="shared" ca="1" si="250"/>
        <v>0</v>
      </c>
      <c r="T60" s="17">
        <f t="shared" ca="1" si="250"/>
        <v>0</v>
      </c>
      <c r="U60" s="17">
        <f t="shared" ca="1" si="250"/>
        <v>0</v>
      </c>
      <c r="V60" s="17">
        <f t="shared" ca="1" si="250"/>
        <v>0</v>
      </c>
      <c r="W60" s="17">
        <f t="shared" ca="1" si="250"/>
        <v>0</v>
      </c>
      <c r="X60" s="17">
        <f t="shared" ca="1" si="250"/>
        <v>0</v>
      </c>
      <c r="Y60" s="17">
        <f t="shared" ca="1" si="250"/>
        <v>0</v>
      </c>
      <c r="Z60" s="17">
        <f t="shared" ca="1" si="250"/>
        <v>0</v>
      </c>
      <c r="AA60" s="17">
        <f t="shared" ca="1" si="250"/>
        <v>0</v>
      </c>
      <c r="AB60" s="17">
        <f t="shared" ca="1" si="250"/>
        <v>-0.93018368388584349</v>
      </c>
      <c r="AC60" s="17">
        <f t="shared" ca="1" si="250"/>
        <v>-1.5026874960124528</v>
      </c>
      <c r="AD60" s="17">
        <f t="shared" ca="1" si="250"/>
        <v>0</v>
      </c>
      <c r="AE60" s="17">
        <f t="shared" ca="1" si="250"/>
        <v>0</v>
      </c>
      <c r="AF60" s="17">
        <f t="shared" ca="1" si="250"/>
        <v>0</v>
      </c>
      <c r="AG60" s="17">
        <f t="shared" ca="1" si="250"/>
        <v>0</v>
      </c>
      <c r="AH60" s="17">
        <f t="shared" ca="1" si="250"/>
        <v>0</v>
      </c>
      <c r="AI60" s="17">
        <f t="shared" ca="1" si="250"/>
        <v>0</v>
      </c>
      <c r="AJ60" s="17">
        <f t="shared" ca="1" si="250"/>
        <v>0</v>
      </c>
      <c r="AK60" s="17">
        <f t="shared" ca="1" si="250"/>
        <v>0</v>
      </c>
      <c r="AL60" s="17">
        <f t="shared" ca="1" si="250"/>
        <v>0</v>
      </c>
      <c r="AM60" s="17">
        <f t="shared" ca="1" si="250"/>
        <v>0</v>
      </c>
      <c r="AN60" s="17">
        <f t="shared" ca="1" si="250"/>
        <v>0</v>
      </c>
      <c r="AO60" s="17">
        <f t="shared" ca="1" si="250"/>
        <v>0</v>
      </c>
      <c r="AP60" s="17">
        <f t="shared" ca="1" si="250"/>
        <v>0</v>
      </c>
      <c r="AQ60" s="17">
        <f t="shared" ca="1" si="250"/>
        <v>0</v>
      </c>
      <c r="AR60" s="17">
        <f t="shared" ca="1" si="250"/>
        <v>0</v>
      </c>
      <c r="AS60" s="17">
        <f t="shared" ca="1" si="250"/>
        <v>0</v>
      </c>
      <c r="AT60" s="17">
        <f t="shared" ca="1" si="250"/>
        <v>0</v>
      </c>
      <c r="AU60" s="17">
        <f t="shared" ca="1" si="250"/>
        <v>0</v>
      </c>
      <c r="AV60" s="17">
        <f t="shared" ca="1" si="250"/>
        <v>0</v>
      </c>
      <c r="AW60" s="17">
        <f t="shared" ca="1" si="250"/>
        <v>0</v>
      </c>
      <c r="AX60" s="17">
        <f t="shared" ca="1" si="250"/>
        <v>0</v>
      </c>
      <c r="AY60" s="17">
        <f t="shared" ca="1" si="250"/>
        <v>0</v>
      </c>
      <c r="AZ60" s="17">
        <f t="shared" ca="1" si="250"/>
        <v>0</v>
      </c>
      <c r="BA60" s="17">
        <f t="shared" ca="1" si="250"/>
        <v>0</v>
      </c>
      <c r="BB60" s="17">
        <f t="shared" ca="1" si="250"/>
        <v>0</v>
      </c>
      <c r="BC60" s="17">
        <f t="shared" ca="1" si="250"/>
        <v>0</v>
      </c>
      <c r="BD60" s="17">
        <f t="shared" ca="1" si="250"/>
        <v>0</v>
      </c>
      <c r="BE60" s="17">
        <f t="shared" ca="1" si="250"/>
        <v>0</v>
      </c>
      <c r="BF60" s="17">
        <f t="shared" ca="1" si="250"/>
        <v>0</v>
      </c>
      <c r="BG60" s="17">
        <f t="shared" ca="1" si="250"/>
        <v>0</v>
      </c>
      <c r="BH60" s="17">
        <f t="shared" ca="1" si="250"/>
        <v>0</v>
      </c>
      <c r="BI60" s="17">
        <f t="shared" ca="1" si="250"/>
        <v>0</v>
      </c>
      <c r="BJ60" s="17">
        <f t="shared" ca="1" si="250"/>
        <v>0</v>
      </c>
      <c r="BK60" s="17">
        <f t="shared" ca="1" si="250"/>
        <v>0</v>
      </c>
    </row>
    <row r="61" spans="1:63">
      <c r="A61" s="11"/>
      <c r="B61" s="100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</row>
    <row r="62" spans="1:63">
      <c r="A62" s="330" t="s">
        <v>234</v>
      </c>
      <c r="B62" s="330"/>
      <c r="C62" s="330"/>
      <c r="D62" s="330"/>
      <c r="E62" s="330"/>
      <c r="F62" s="330"/>
      <c r="G62" s="330"/>
      <c r="H62" s="330"/>
      <c r="I62" s="330"/>
      <c r="J62" s="330"/>
      <c r="K62" s="330"/>
      <c r="L62" s="330"/>
      <c r="M62" s="330"/>
      <c r="N62" s="330"/>
      <c r="O62" s="330"/>
      <c r="P62" s="330"/>
      <c r="Q62" s="330"/>
      <c r="R62" s="330"/>
      <c r="S62" s="330"/>
      <c r="T62" s="330"/>
      <c r="U62" s="330"/>
      <c r="V62" s="330"/>
      <c r="W62" s="330"/>
      <c r="X62" s="330"/>
      <c r="Y62" s="330"/>
      <c r="Z62" s="330"/>
      <c r="AA62" s="330"/>
      <c r="AB62" s="330"/>
      <c r="AC62" s="330"/>
      <c r="AD62" s="330"/>
      <c r="AE62" s="330"/>
      <c r="AF62" s="330"/>
      <c r="AG62" s="330"/>
      <c r="AH62" s="330"/>
      <c r="AI62" s="330"/>
      <c r="AJ62" s="330"/>
      <c r="AK62" s="330"/>
      <c r="AL62" s="330"/>
      <c r="AM62" s="330"/>
      <c r="AN62" s="330"/>
      <c r="AO62" s="330"/>
      <c r="AP62" s="330"/>
      <c r="AQ62" s="330"/>
      <c r="AR62" s="330"/>
      <c r="AS62" s="330"/>
      <c r="AT62" s="330"/>
      <c r="AU62" s="330"/>
      <c r="AV62" s="330"/>
      <c r="AW62" s="330"/>
      <c r="AX62" s="330"/>
      <c r="AY62" s="330"/>
      <c r="AZ62" s="330"/>
      <c r="BA62" s="330"/>
      <c r="BB62" s="330"/>
      <c r="BC62" s="330"/>
      <c r="BD62" s="330"/>
      <c r="BE62" s="330"/>
      <c r="BF62" s="330"/>
      <c r="BG62" s="330"/>
      <c r="BH62" s="330"/>
      <c r="BI62" s="330"/>
      <c r="BJ62" s="330"/>
      <c r="BK62" s="330"/>
    </row>
    <row r="63" spans="1:63"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</row>
    <row r="64" spans="1:63">
      <c r="A64" s="11" t="s">
        <v>235</v>
      </c>
      <c r="C64" s="22">
        <f>IF(AND(C8&gt;=Inputs!$L$94,C8&lt;=Inputs!$L$95),1/(Inputs!$L$95-Inputs!$L$94+1),0)</f>
        <v>0</v>
      </c>
      <c r="D64" s="22">
        <f>IF(AND(D8&gt;=Inputs!$L$94,D8&lt;=Inputs!$L$95),1/(Inputs!$L$95-Inputs!$L$94+1),0)</f>
        <v>0</v>
      </c>
      <c r="E64" s="22">
        <f>IF(AND(E8&gt;=Inputs!$L$94,E8&lt;=Inputs!$L$95),1/(Inputs!$L$95-Inputs!$L$94+1),0)</f>
        <v>0</v>
      </c>
      <c r="F64" s="22">
        <f>IF(AND(F8&gt;=Inputs!$L$94,F8&lt;=Inputs!$L$95),1/(Inputs!$L$95-Inputs!$L$94+1),0)</f>
        <v>0</v>
      </c>
      <c r="G64" s="22">
        <f>IF(AND(G8&gt;=Inputs!$L$94,G8&lt;=Inputs!$L$95),1/(Inputs!$L$95-Inputs!$L$94+1),0)</f>
        <v>0</v>
      </c>
      <c r="H64" s="22">
        <f>IF(AND(H8&gt;=Inputs!$L$94,H8&lt;=Inputs!$L$95),1/(Inputs!$L$95-Inputs!$L$94+1),0)</f>
        <v>0</v>
      </c>
      <c r="I64" s="22">
        <f>IF(AND(I8&gt;=Inputs!$L$94,I8&lt;=Inputs!$L$95),1/(Inputs!$L$95-Inputs!$L$94+1),0)</f>
        <v>0</v>
      </c>
      <c r="J64" s="22">
        <f>IF(AND(J8&gt;=Inputs!$L$94,J8&lt;=Inputs!$L$95),1/(Inputs!$L$95-Inputs!$L$94+1),0)</f>
        <v>0</v>
      </c>
      <c r="K64" s="22">
        <f>IF(AND(K8&gt;=Inputs!$L$94,K8&lt;=Inputs!$L$95),1/(Inputs!$L$95-Inputs!$L$94+1),0)</f>
        <v>0</v>
      </c>
      <c r="L64" s="22">
        <f>IF(AND(L8&gt;=Inputs!$L$94,L8&lt;=Inputs!$L$95),1/(Inputs!$L$95-Inputs!$L$94+1),0)</f>
        <v>0</v>
      </c>
      <c r="M64" s="22">
        <f>IF(AND(M8&gt;=Inputs!$L$94,M8&lt;=Inputs!$L$95),1/(Inputs!$L$95-Inputs!$L$94+1),0)</f>
        <v>0</v>
      </c>
      <c r="N64" s="22">
        <f>IF(AND(N8&gt;=Inputs!$L$94,N8&lt;=Inputs!$L$95),1/(Inputs!$L$95-Inputs!$L$94+1),0)</f>
        <v>0</v>
      </c>
      <c r="O64" s="22">
        <f>IF(AND(O8&gt;=Inputs!$L$94,O8&lt;=Inputs!$L$95),1/(Inputs!$L$95-Inputs!$L$94+1),0)</f>
        <v>0</v>
      </c>
      <c r="P64" s="22">
        <f>IF(AND(P8&gt;=Inputs!$L$94,P8&lt;=Inputs!$L$95),1/(Inputs!$L$95-Inputs!$L$94+1),0)</f>
        <v>0</v>
      </c>
      <c r="Q64" s="22">
        <f>IF(AND(Q8&gt;=Inputs!$L$94,Q8&lt;=Inputs!$L$95),1/(Inputs!$L$95-Inputs!$L$94+1),0)</f>
        <v>0</v>
      </c>
      <c r="R64" s="22">
        <f>IF(AND(R8&gt;=Inputs!$L$94,R8&lt;=Inputs!$L$95),1/(Inputs!$L$95-Inputs!$L$94+1),0)</f>
        <v>0</v>
      </c>
      <c r="S64" s="22">
        <f>IF(AND(S8&gt;=Inputs!$L$94,S8&lt;=Inputs!$L$95),1/(Inputs!$L$95-Inputs!$L$94+1),0)</f>
        <v>8.3333333333333329E-2</v>
      </c>
      <c r="T64" s="22">
        <f>IF(AND(T8&gt;=Inputs!$L$94,T8&lt;=Inputs!$L$95),1/(Inputs!$L$95-Inputs!$L$94+1),0)</f>
        <v>8.3333333333333329E-2</v>
      </c>
      <c r="U64" s="22">
        <f>IF(AND(U8&gt;=Inputs!$L$94,U8&lt;=Inputs!$L$95),1/(Inputs!$L$95-Inputs!$L$94+1),0)</f>
        <v>8.3333333333333329E-2</v>
      </c>
      <c r="V64" s="22">
        <f>IF(AND(V8&gt;=Inputs!$L$94,V8&lt;=Inputs!$L$95),1/(Inputs!$L$95-Inputs!$L$94+1),0)</f>
        <v>8.3333333333333329E-2</v>
      </c>
      <c r="W64" s="22">
        <f>IF(AND(W8&gt;=Inputs!$L$94,W8&lt;=Inputs!$L$95),1/(Inputs!$L$95-Inputs!$L$94+1),0)</f>
        <v>8.3333333333333329E-2</v>
      </c>
      <c r="X64" s="22">
        <f>IF(AND(X8&gt;=Inputs!$L$94,X8&lt;=Inputs!$L$95),1/(Inputs!$L$95-Inputs!$L$94+1),0)</f>
        <v>8.3333333333333329E-2</v>
      </c>
      <c r="Y64" s="22">
        <f>IF(AND(Y8&gt;=Inputs!$L$94,Y8&lt;=Inputs!$L$95),1/(Inputs!$L$95-Inputs!$L$94+1),0)</f>
        <v>8.3333333333333329E-2</v>
      </c>
      <c r="Z64" s="22">
        <f>IF(AND(Z8&gt;=Inputs!$L$94,Z8&lt;=Inputs!$L$95),1/(Inputs!$L$95-Inputs!$L$94+1),0)</f>
        <v>8.3333333333333329E-2</v>
      </c>
      <c r="AA64" s="22">
        <f>IF(AND(AA8&gt;=Inputs!$L$94,AA8&lt;=Inputs!$L$95),1/(Inputs!$L$95-Inputs!$L$94+1),0)</f>
        <v>8.3333333333333329E-2</v>
      </c>
      <c r="AB64" s="22">
        <f>IF(AND(AB8&gt;=Inputs!$L$94,AB8&lt;=Inputs!$L$95),1/(Inputs!$L$95-Inputs!$L$94+1),0)</f>
        <v>8.3333333333333329E-2</v>
      </c>
      <c r="AC64" s="22">
        <f>IF(AND(AC8&gt;=Inputs!$L$94,AC8&lt;=Inputs!$L$95),1/(Inputs!$L$95-Inputs!$L$94+1),0)</f>
        <v>8.3333333333333329E-2</v>
      </c>
      <c r="AD64" s="22">
        <f>IF(AND(AD8&gt;=Inputs!$L$94,AD8&lt;=Inputs!$L$95),1/(Inputs!$L$95-Inputs!$L$94+1),0)</f>
        <v>8.3333333333333329E-2</v>
      </c>
      <c r="AE64" s="22">
        <f>IF(AND(AE8&gt;=Inputs!$L$94,AE8&lt;=Inputs!$L$95),1/(Inputs!$L$95-Inputs!$L$94+1),0)</f>
        <v>0</v>
      </c>
      <c r="AF64" s="22">
        <f>IF(AND(AF8&gt;=Inputs!$L$94,AF8&lt;=Inputs!$L$95),1/(Inputs!$L$95-Inputs!$L$94+1),0)</f>
        <v>0</v>
      </c>
      <c r="AG64" s="22">
        <f>IF(AND(AG8&gt;=Inputs!$L$94,AG8&lt;=Inputs!$L$95),1/(Inputs!$L$95-Inputs!$L$94+1),0)</f>
        <v>0</v>
      </c>
      <c r="AH64" s="22">
        <f>IF(AND(AH8&gt;=Inputs!$L$94,AH8&lt;=Inputs!$L$95),1/(Inputs!$L$95-Inputs!$L$94+1),0)</f>
        <v>0</v>
      </c>
      <c r="AI64" s="22">
        <f>IF(AND(AI8&gt;=Inputs!$L$94,AI8&lt;=Inputs!$L$95),1/(Inputs!$L$95-Inputs!$L$94+1),0)</f>
        <v>0</v>
      </c>
      <c r="AJ64" s="22">
        <f>IF(AND(AJ8&gt;=Inputs!$L$94,AJ8&lt;=Inputs!$L$95),1/(Inputs!$L$95-Inputs!$L$94+1),0)</f>
        <v>0</v>
      </c>
      <c r="AK64" s="22">
        <f>IF(AND(AK8&gt;=Inputs!$L$94,AK8&lt;=Inputs!$L$95),1/(Inputs!$L$95-Inputs!$L$94+1),0)</f>
        <v>0</v>
      </c>
      <c r="AL64" s="22">
        <f>IF(AND(AL8&gt;=Inputs!$L$94,AL8&lt;=Inputs!$L$95),1/(Inputs!$L$95-Inputs!$L$94+1),0)</f>
        <v>0</v>
      </c>
      <c r="AM64" s="22">
        <f>IF(AND(AM8&gt;=Inputs!$L$94,AM8&lt;=Inputs!$L$95),1/(Inputs!$L$95-Inputs!$L$94+1),0)</f>
        <v>0</v>
      </c>
      <c r="AN64" s="22">
        <f>IF(AND(AN8&gt;=Inputs!$L$94,AN8&lt;=Inputs!$L$95),1/(Inputs!$L$95-Inputs!$L$94+1),0)</f>
        <v>0</v>
      </c>
      <c r="AO64" s="22">
        <f>IF(AND(AO8&gt;=Inputs!$L$94,AO8&lt;=Inputs!$L$95),1/(Inputs!$L$95-Inputs!$L$94+1),0)</f>
        <v>0</v>
      </c>
      <c r="AP64" s="22">
        <f>IF(AND(AP8&gt;=Inputs!$L$94,AP8&lt;=Inputs!$L$95),1/(Inputs!$L$95-Inputs!$L$94+1),0)</f>
        <v>0</v>
      </c>
      <c r="AQ64" s="22">
        <f>IF(AND(AQ8&gt;=Inputs!$L$94,AQ8&lt;=Inputs!$L$95),1/(Inputs!$L$95-Inputs!$L$94+1),0)</f>
        <v>0</v>
      </c>
      <c r="AR64" s="22">
        <f>IF(AND(AR8&gt;=Inputs!$L$94,AR8&lt;=Inputs!$L$95),1/(Inputs!$L$95-Inputs!$L$94+1),0)</f>
        <v>0</v>
      </c>
      <c r="AS64" s="22">
        <f>IF(AND(AS8&gt;=Inputs!$L$94,AS8&lt;=Inputs!$L$95),1/(Inputs!$L$95-Inputs!$L$94+1),0)</f>
        <v>0</v>
      </c>
      <c r="AT64" s="22">
        <f>IF(AND(AT8&gt;=Inputs!$L$94,AT8&lt;=Inputs!$L$95),1/(Inputs!$L$95-Inputs!$L$94+1),0)</f>
        <v>0</v>
      </c>
      <c r="AU64" s="22">
        <f>IF(AND(AU8&gt;=Inputs!$L$94,AU8&lt;=Inputs!$L$95),1/(Inputs!$L$95-Inputs!$L$94+1),0)</f>
        <v>0</v>
      </c>
      <c r="AV64" s="22">
        <f>IF(AND(AV8&gt;=Inputs!$L$94,AV8&lt;=Inputs!$L$95),1/(Inputs!$L$95-Inputs!$L$94+1),0)</f>
        <v>0</v>
      </c>
      <c r="AW64" s="22">
        <f>IF(AND(AW8&gt;=Inputs!$L$94,AW8&lt;=Inputs!$L$95),1/(Inputs!$L$95-Inputs!$L$94+1),0)</f>
        <v>0</v>
      </c>
      <c r="AX64" s="22">
        <f>IF(AND(AX8&gt;=Inputs!$L$94,AX8&lt;=Inputs!$L$95),1/(Inputs!$L$95-Inputs!$L$94+1),0)</f>
        <v>0</v>
      </c>
      <c r="AY64" s="22">
        <f>IF(AND(AY8&gt;=Inputs!$L$94,AY8&lt;=Inputs!$L$95),1/(Inputs!$L$95-Inputs!$L$94+1),0)</f>
        <v>0</v>
      </c>
      <c r="AZ64" s="22">
        <f>IF(AND(AZ8&gt;=Inputs!$L$94,AZ8&lt;=Inputs!$L$95),1/(Inputs!$L$95-Inputs!$L$94+1),0)</f>
        <v>0</v>
      </c>
      <c r="BA64" s="22">
        <f>IF(AND(BA8&gt;=Inputs!$L$94,BA8&lt;=Inputs!$L$95),1/(Inputs!$L$95-Inputs!$L$94+1),0)</f>
        <v>0</v>
      </c>
      <c r="BB64" s="22">
        <f>IF(AND(BB8&gt;=Inputs!$L$94,BB8&lt;=Inputs!$L$95),1/(Inputs!$L$95-Inputs!$L$94+1),0)</f>
        <v>0</v>
      </c>
      <c r="BC64" s="22">
        <f>IF(AND(BC8&gt;=Inputs!$L$94,BC8&lt;=Inputs!$L$95),1/(Inputs!$L$95-Inputs!$L$94+1),0)</f>
        <v>0</v>
      </c>
      <c r="BD64" s="22">
        <f>IF(AND(BD8&gt;=Inputs!$L$94,BD8&lt;=Inputs!$L$95),1/(Inputs!$L$95-Inputs!$L$94+1),0)</f>
        <v>0</v>
      </c>
      <c r="BE64" s="22">
        <f>IF(AND(BE8&gt;=Inputs!$L$94,BE8&lt;=Inputs!$L$95),1/(Inputs!$L$95-Inputs!$L$94+1),0)</f>
        <v>0</v>
      </c>
      <c r="BF64" s="22">
        <f>IF(AND(BF8&gt;=Inputs!$L$94,BF8&lt;=Inputs!$L$95),1/(Inputs!$L$95-Inputs!$L$94+1),0)</f>
        <v>0</v>
      </c>
      <c r="BG64" s="22">
        <f>IF(AND(BG8&gt;=Inputs!$L$94,BG8&lt;=Inputs!$L$95),1/(Inputs!$L$95-Inputs!$L$94+1),0)</f>
        <v>0</v>
      </c>
      <c r="BH64" s="22">
        <f>IF(AND(BH8&gt;=Inputs!$L$94,BH8&lt;=Inputs!$L$95),1/(Inputs!$L$95-Inputs!$L$94+1),0)</f>
        <v>0</v>
      </c>
      <c r="BI64" s="22">
        <f>IF(AND(BI8&gt;=Inputs!$L$94,BI8&lt;=Inputs!$L$95),1/(Inputs!$L$95-Inputs!$L$94+1),0)</f>
        <v>0</v>
      </c>
      <c r="BJ64" s="22">
        <f>IF(AND(BJ8&gt;=Inputs!$L$94,BJ8&lt;=Inputs!$L$95),1/(Inputs!$L$95-Inputs!$L$94+1),0)</f>
        <v>0</v>
      </c>
      <c r="BK64" s="22">
        <f>IF(AND(BK8&gt;=Inputs!$L$94,BK8&lt;=Inputs!$L$95),1/(Inputs!$L$95-Inputs!$L$94+1),0)</f>
        <v>0</v>
      </c>
    </row>
    <row r="65" spans="1:63">
      <c r="A65" s="11" t="s">
        <v>236</v>
      </c>
      <c r="C65" s="22">
        <f>C64+B65</f>
        <v>0</v>
      </c>
      <c r="D65" s="22">
        <f t="shared" ref="D65:BK65" si="251">D64+C65</f>
        <v>0</v>
      </c>
      <c r="E65" s="22">
        <f t="shared" si="251"/>
        <v>0</v>
      </c>
      <c r="F65" s="22">
        <f t="shared" si="251"/>
        <v>0</v>
      </c>
      <c r="G65" s="22">
        <f t="shared" si="251"/>
        <v>0</v>
      </c>
      <c r="H65" s="22">
        <f t="shared" si="251"/>
        <v>0</v>
      </c>
      <c r="I65" s="22">
        <f t="shared" si="251"/>
        <v>0</v>
      </c>
      <c r="J65" s="22">
        <f t="shared" si="251"/>
        <v>0</v>
      </c>
      <c r="K65" s="22">
        <f t="shared" si="251"/>
        <v>0</v>
      </c>
      <c r="L65" s="22">
        <f t="shared" si="251"/>
        <v>0</v>
      </c>
      <c r="M65" s="22">
        <f t="shared" si="251"/>
        <v>0</v>
      </c>
      <c r="N65" s="22">
        <f t="shared" si="251"/>
        <v>0</v>
      </c>
      <c r="O65" s="22">
        <f t="shared" si="251"/>
        <v>0</v>
      </c>
      <c r="P65" s="22">
        <f t="shared" si="251"/>
        <v>0</v>
      </c>
      <c r="Q65" s="22">
        <f t="shared" si="251"/>
        <v>0</v>
      </c>
      <c r="R65" s="22">
        <f t="shared" si="251"/>
        <v>0</v>
      </c>
      <c r="S65" s="22">
        <f t="shared" si="251"/>
        <v>8.3333333333333329E-2</v>
      </c>
      <c r="T65" s="22">
        <f t="shared" si="251"/>
        <v>0.16666666666666666</v>
      </c>
      <c r="U65" s="22">
        <f t="shared" si="251"/>
        <v>0.25</v>
      </c>
      <c r="V65" s="22">
        <f t="shared" si="251"/>
        <v>0.33333333333333331</v>
      </c>
      <c r="W65" s="22">
        <f t="shared" si="251"/>
        <v>0.41666666666666663</v>
      </c>
      <c r="X65" s="22">
        <f t="shared" si="251"/>
        <v>0.49999999999999994</v>
      </c>
      <c r="Y65" s="22">
        <f t="shared" si="251"/>
        <v>0.58333333333333326</v>
      </c>
      <c r="Z65" s="22">
        <f t="shared" si="251"/>
        <v>0.66666666666666663</v>
      </c>
      <c r="AA65" s="22">
        <f t="shared" si="251"/>
        <v>0.75</v>
      </c>
      <c r="AB65" s="22">
        <f t="shared" si="251"/>
        <v>0.83333333333333337</v>
      </c>
      <c r="AC65" s="22">
        <f t="shared" si="251"/>
        <v>0.91666666666666674</v>
      </c>
      <c r="AD65" s="22">
        <f t="shared" si="251"/>
        <v>1</v>
      </c>
      <c r="AE65" s="22">
        <f t="shared" si="251"/>
        <v>1</v>
      </c>
      <c r="AF65" s="22">
        <f t="shared" si="251"/>
        <v>1</v>
      </c>
      <c r="AG65" s="22">
        <f t="shared" si="251"/>
        <v>1</v>
      </c>
      <c r="AH65" s="22">
        <f t="shared" si="251"/>
        <v>1</v>
      </c>
      <c r="AI65" s="22">
        <f t="shared" si="251"/>
        <v>1</v>
      </c>
      <c r="AJ65" s="22">
        <f t="shared" si="251"/>
        <v>1</v>
      </c>
      <c r="AK65" s="22">
        <f t="shared" si="251"/>
        <v>1</v>
      </c>
      <c r="AL65" s="22">
        <f t="shared" si="251"/>
        <v>1</v>
      </c>
      <c r="AM65" s="22">
        <f t="shared" si="251"/>
        <v>1</v>
      </c>
      <c r="AN65" s="22">
        <f t="shared" si="251"/>
        <v>1</v>
      </c>
      <c r="AO65" s="22">
        <f t="shared" si="251"/>
        <v>1</v>
      </c>
      <c r="AP65" s="22">
        <f t="shared" si="251"/>
        <v>1</v>
      </c>
      <c r="AQ65" s="22">
        <f t="shared" si="251"/>
        <v>1</v>
      </c>
      <c r="AR65" s="22">
        <f t="shared" si="251"/>
        <v>1</v>
      </c>
      <c r="AS65" s="22">
        <f t="shared" si="251"/>
        <v>1</v>
      </c>
      <c r="AT65" s="22">
        <f t="shared" si="251"/>
        <v>1</v>
      </c>
      <c r="AU65" s="22">
        <f t="shared" si="251"/>
        <v>1</v>
      </c>
      <c r="AV65" s="22">
        <f t="shared" si="251"/>
        <v>1</v>
      </c>
      <c r="AW65" s="22">
        <f t="shared" si="251"/>
        <v>1</v>
      </c>
      <c r="AX65" s="22">
        <f t="shared" si="251"/>
        <v>1</v>
      </c>
      <c r="AY65" s="22">
        <f t="shared" si="251"/>
        <v>1</v>
      </c>
      <c r="AZ65" s="22">
        <f t="shared" si="251"/>
        <v>1</v>
      </c>
      <c r="BA65" s="22">
        <f t="shared" si="251"/>
        <v>1</v>
      </c>
      <c r="BB65" s="22">
        <f t="shared" si="251"/>
        <v>1</v>
      </c>
      <c r="BC65" s="22">
        <f t="shared" si="251"/>
        <v>1</v>
      </c>
      <c r="BD65" s="22">
        <f t="shared" si="251"/>
        <v>1</v>
      </c>
      <c r="BE65" s="22">
        <f t="shared" si="251"/>
        <v>1</v>
      </c>
      <c r="BF65" s="22">
        <f t="shared" si="251"/>
        <v>1</v>
      </c>
      <c r="BG65" s="22">
        <f t="shared" si="251"/>
        <v>1</v>
      </c>
      <c r="BH65" s="22">
        <f t="shared" si="251"/>
        <v>1</v>
      </c>
      <c r="BI65" s="22">
        <f t="shared" si="251"/>
        <v>1</v>
      </c>
      <c r="BJ65" s="22">
        <f t="shared" si="251"/>
        <v>1</v>
      </c>
      <c r="BK65" s="22">
        <f t="shared" si="251"/>
        <v>1</v>
      </c>
    </row>
    <row r="66" spans="1:63">
      <c r="A66" s="11" t="s">
        <v>237</v>
      </c>
      <c r="B66" s="31">
        <f>Inputs!L96</f>
        <v>27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</row>
    <row r="67" spans="1:63">
      <c r="A67" s="11"/>
      <c r="B67" s="31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</row>
    <row r="68" spans="1:63">
      <c r="A68" s="11" t="s">
        <v>238</v>
      </c>
      <c r="C68" s="7">
        <f>IF(C$8&lt;=$B$66,C65*INDEX(Inputs!$W$13:$AF$13,MATCH('Cash Flow - Modular'!C10,Inputs!$W$6:$AF$6,0))/12,0)</f>
        <v>0</v>
      </c>
      <c r="D68" s="7">
        <f>IF(D$8&lt;=$B$66,D65*INDEX(Inputs!$W$13:$AF$13,MATCH('Cash Flow - Modular'!D10,Inputs!$W$6:$AF$6,0))/12,0)</f>
        <v>0</v>
      </c>
      <c r="E68" s="7">
        <f>IF(E$8&lt;=$B$66,E65*INDEX(Inputs!$W$13:$AF$13,MATCH('Cash Flow - Modular'!E10,Inputs!$W$6:$AF$6,0))/12,0)</f>
        <v>0</v>
      </c>
      <c r="F68" s="7">
        <f>IF(F$8&lt;=$B$66,F65*INDEX(Inputs!$W$13:$AF$13,MATCH('Cash Flow - Modular'!F10,Inputs!$W$6:$AF$6,0))/12,0)</f>
        <v>0</v>
      </c>
      <c r="G68" s="7">
        <f>IF(G$8&lt;=$B$66,G65*INDEX(Inputs!$W$13:$AF$13,MATCH('Cash Flow - Modular'!G10,Inputs!$W$6:$AF$6,0))/12,0)</f>
        <v>0</v>
      </c>
      <c r="H68" s="7">
        <f>IF(H$8&lt;=$B$66,H65*INDEX(Inputs!$W$13:$AF$13,MATCH('Cash Flow - Modular'!H10,Inputs!$W$6:$AF$6,0))/12,0)</f>
        <v>0</v>
      </c>
      <c r="I68" s="7">
        <f>IF(I$8&lt;=$B$66,I65*INDEX(Inputs!$W$13:$AF$13,MATCH('Cash Flow - Modular'!I10,Inputs!$W$6:$AF$6,0))/12,0)</f>
        <v>0</v>
      </c>
      <c r="J68" s="7">
        <f>IF(J$8&lt;=$B$66,J65*INDEX(Inputs!$W$13:$AF$13,MATCH('Cash Flow - Modular'!J10,Inputs!$W$6:$AF$6,0))/12,0)</f>
        <v>0</v>
      </c>
      <c r="K68" s="7">
        <f>IF(K$8&lt;=$B$66,K65*INDEX(Inputs!$W$13:$AF$13,MATCH('Cash Flow - Modular'!K10,Inputs!$W$6:$AF$6,0))/12,0)</f>
        <v>0</v>
      </c>
      <c r="L68" s="7">
        <f>IF(L$8&lt;=$B$66,L65*INDEX(Inputs!$W$13:$AF$13,MATCH('Cash Flow - Modular'!L10,Inputs!$W$6:$AF$6,0))/12,0)</f>
        <v>0</v>
      </c>
      <c r="M68" s="7">
        <f>IF(M$8&lt;=$B$66,M65*INDEX(Inputs!$W$13:$AF$13,MATCH('Cash Flow - Modular'!M10,Inputs!$W$6:$AF$6,0))/12,0)</f>
        <v>0</v>
      </c>
      <c r="N68" s="7">
        <f>IF(N$8&lt;=$B$66,N65*INDEX(Inputs!$W$13:$AF$13,MATCH('Cash Flow - Modular'!N10,Inputs!$W$6:$AF$6,0))/12,0)</f>
        <v>0</v>
      </c>
      <c r="O68" s="7">
        <f>IF(O$8&lt;=$B$66,O65*INDEX(Inputs!$W$13:$AF$13,MATCH('Cash Flow - Modular'!O10,Inputs!$W$6:$AF$6,0))/12,0)</f>
        <v>0</v>
      </c>
      <c r="P68" s="7">
        <f>IF(P$8&lt;=$B$66,P65*INDEX(Inputs!$W$13:$AF$13,MATCH('Cash Flow - Modular'!P10,Inputs!$W$6:$AF$6,0))/12,0)</f>
        <v>0</v>
      </c>
      <c r="Q68" s="7">
        <f>IF(Q$8&lt;=$B$66,Q65*INDEX(Inputs!$W$13:$AF$13,MATCH('Cash Flow - Modular'!Q10,Inputs!$W$6:$AF$6,0))/12,0)</f>
        <v>0</v>
      </c>
      <c r="R68" s="7">
        <f>IF(R$8&lt;=$B$66,R65*INDEX(Inputs!$W$13:$AF$13,MATCH('Cash Flow - Modular'!R10,Inputs!$W$6:$AF$6,0))/12,0)</f>
        <v>0</v>
      </c>
      <c r="S68" s="7">
        <f>IF(S$8&lt;=$B$66,S65*INDEX(Inputs!$W$13:$AF$13,MATCH('Cash Flow - Modular'!S10,Inputs!$W$6:$AF$6,0))/12,0)</f>
        <v>28969.166666666661</v>
      </c>
      <c r="T68" s="7">
        <f>IF(T$8&lt;=$B$66,T65*INDEX(Inputs!$W$13:$AF$13,MATCH('Cash Flow - Modular'!T10,Inputs!$W$6:$AF$6,0))/12,0)</f>
        <v>57938.333333333321</v>
      </c>
      <c r="U68" s="7">
        <f>IF(U$8&lt;=$B$66,U65*INDEX(Inputs!$W$13:$AF$13,MATCH('Cash Flow - Modular'!U10,Inputs!$W$6:$AF$6,0))/12,0)</f>
        <v>86907.499999999985</v>
      </c>
      <c r="V68" s="7">
        <f>IF(V$8&lt;=$B$66,V65*INDEX(Inputs!$W$13:$AF$13,MATCH('Cash Flow - Modular'!V10,Inputs!$W$6:$AF$6,0))/12,0)</f>
        <v>115876.66666666664</v>
      </c>
      <c r="W68" s="7">
        <f>IF(W$8&lt;=$B$66,W65*INDEX(Inputs!$W$13:$AF$13,MATCH('Cash Flow - Modular'!W10,Inputs!$W$6:$AF$6,0))/12,0)</f>
        <v>144845.83333333331</v>
      </c>
      <c r="X68" s="7">
        <f>IF(X$8&lt;=$B$66,X65*INDEX(Inputs!$W$13:$AF$13,MATCH('Cash Flow - Modular'!X10,Inputs!$W$6:$AF$6,0))/12,0)</f>
        <v>173814.99999999997</v>
      </c>
      <c r="Y68" s="7">
        <f>IF(Y$8&lt;=$B$66,Y65*INDEX(Inputs!$W$13:$AF$13,MATCH('Cash Flow - Modular'!Y10,Inputs!$W$6:$AF$6,0))/12,0)</f>
        <v>202784.16666666663</v>
      </c>
      <c r="Z68" s="7">
        <f>IF(Z$8&lt;=$B$66,Z65*INDEX(Inputs!$W$13:$AF$13,MATCH('Cash Flow - Modular'!Z10,Inputs!$W$6:$AF$6,0))/12,0)</f>
        <v>231753.33333333328</v>
      </c>
      <c r="AA68" s="7">
        <f>IF(AA$8&lt;=$B$66,AA65*INDEX(Inputs!$W$13:$AF$13,MATCH('Cash Flow - Modular'!AA10,Inputs!$W$6:$AF$6,0))/12,0)</f>
        <v>260722.49999999997</v>
      </c>
      <c r="AB68" s="7">
        <f>IF(AB$8&lt;=$B$66,AB65*INDEX(Inputs!$W$13:$AF$13,MATCH('Cash Flow - Modular'!AB10,Inputs!$W$6:$AF$6,0))/12,0)</f>
        <v>296775.29166666663</v>
      </c>
      <c r="AC68" s="7">
        <f>IF(AC$8&lt;=$B$66,AC65*INDEX(Inputs!$W$13:$AF$13,MATCH('Cash Flow - Modular'!AC10,Inputs!$W$6:$AF$6,0))/12,0)</f>
        <v>326452.8208333333</v>
      </c>
      <c r="AD68" s="7">
        <f>IF(AD$8&lt;=$B$66,AD65*INDEX(Inputs!$W$13:$AF$13,MATCH('Cash Flow - Modular'!AD10,Inputs!$W$6:$AF$6,0))/12,0)</f>
        <v>356130.34999999992</v>
      </c>
      <c r="AE68" s="7">
        <f>IF(AE$8&lt;=$B$66,AE65*INDEX(Inputs!$W$13:$AF$13,MATCH('Cash Flow - Modular'!AE10,Inputs!$W$6:$AF$6,0))/12,0)</f>
        <v>0</v>
      </c>
      <c r="AF68" s="7">
        <f>IF(AF$8&lt;=$B$66,AF65*INDEX(Inputs!$W$13:$AF$13,MATCH('Cash Flow - Modular'!AF10,Inputs!$W$6:$AF$6,0))/12,0)</f>
        <v>0</v>
      </c>
      <c r="AG68" s="7">
        <f>IF(AG$8&lt;=$B$66,AG65*INDEX(Inputs!$W$13:$AF$13,MATCH('Cash Flow - Modular'!AG10,Inputs!$W$6:$AF$6,0))/12,0)</f>
        <v>0</v>
      </c>
      <c r="AH68" s="7">
        <f>IF(AH$8&lt;=$B$66,AH65*INDEX(Inputs!$W$13:$AF$13,MATCH('Cash Flow - Modular'!AH10,Inputs!$W$6:$AF$6,0))/12,0)</f>
        <v>0</v>
      </c>
      <c r="AI68" s="7">
        <f>IF(AI$8&lt;=$B$66,AI65*INDEX(Inputs!$W$13:$AF$13,MATCH('Cash Flow - Modular'!AI10,Inputs!$W$6:$AF$6,0))/12,0)</f>
        <v>0</v>
      </c>
      <c r="AJ68" s="7">
        <f>IF(AJ$8&lt;=$B$66,AJ65*INDEX(Inputs!$W$13:$AF$13,MATCH('Cash Flow - Modular'!AJ10,Inputs!$W$6:$AF$6,0))/12,0)</f>
        <v>0</v>
      </c>
      <c r="AK68" s="7">
        <f>IF(AK$8&lt;=$B$66,AK65*INDEX(Inputs!$W$13:$AF$13,MATCH('Cash Flow - Modular'!AK10,Inputs!$W$6:$AF$6,0))/12,0)</f>
        <v>0</v>
      </c>
      <c r="AL68" s="7">
        <f>IF(AL$8&lt;=$B$66,AL65*INDEX(Inputs!$W$13:$AF$13,MATCH('Cash Flow - Modular'!AL10,Inputs!$W$6:$AF$6,0))/12,0)</f>
        <v>0</v>
      </c>
      <c r="AM68" s="7">
        <f>IF(AM$8&lt;=$B$66,AM65*INDEX(Inputs!$W$13:$AF$13,MATCH('Cash Flow - Modular'!AM10,Inputs!$W$6:$AF$6,0))/12,0)</f>
        <v>0</v>
      </c>
      <c r="AN68" s="7">
        <f>IF(AN$8&lt;=$B$66,AN65*INDEX(Inputs!$W$13:$AF$13,MATCH('Cash Flow - Modular'!AN10,Inputs!$W$6:$AF$6,0))/12,0)</f>
        <v>0</v>
      </c>
      <c r="AO68" s="7">
        <f>IF(AO$8&lt;=$B$66,AO65*INDEX(Inputs!$W$13:$AF$13,MATCH('Cash Flow - Modular'!AO10,Inputs!$W$6:$AF$6,0))/12,0)</f>
        <v>0</v>
      </c>
      <c r="AP68" s="7">
        <f>IF(AP$8&lt;=$B$66,AP65*INDEX(Inputs!$W$13:$AF$13,MATCH('Cash Flow - Modular'!AP10,Inputs!$W$6:$AF$6,0))/12,0)</f>
        <v>0</v>
      </c>
      <c r="AQ68" s="7">
        <f>IF(AQ$8&lt;=$B$66,AQ65*INDEX(Inputs!$W$13:$AF$13,MATCH('Cash Flow - Modular'!AQ10,Inputs!$W$6:$AF$6,0))/12,0)</f>
        <v>0</v>
      </c>
      <c r="AR68" s="7">
        <f>IF(AR$8&lt;=$B$66,AR65*INDEX(Inputs!$W$13:$AF$13,MATCH('Cash Flow - Modular'!AR10,Inputs!$W$6:$AF$6,0))/12,0)</f>
        <v>0</v>
      </c>
      <c r="AS68" s="7">
        <f>IF(AS$8&lt;=$B$66,AS65*INDEX(Inputs!$W$13:$AF$13,MATCH('Cash Flow - Modular'!AS10,Inputs!$W$6:$AF$6,0))/12,0)</f>
        <v>0</v>
      </c>
      <c r="AT68" s="7">
        <f>IF(AT$8&lt;=$B$66,AT65*INDEX(Inputs!$W$13:$AF$13,MATCH('Cash Flow - Modular'!AT10,Inputs!$W$6:$AF$6,0))/12,0)</f>
        <v>0</v>
      </c>
      <c r="AU68" s="7">
        <f>IF(AU$8&lt;=$B$66,AU65*INDEX(Inputs!$W$13:$AF$13,MATCH('Cash Flow - Modular'!AU10,Inputs!$W$6:$AF$6,0))/12,0)</f>
        <v>0</v>
      </c>
      <c r="AV68" s="7">
        <f>IF(AV$8&lt;=$B$66,AV65*INDEX(Inputs!$W$13:$AF$13,MATCH('Cash Flow - Modular'!AV10,Inputs!$W$6:$AF$6,0))/12,0)</f>
        <v>0</v>
      </c>
      <c r="AW68" s="7">
        <f>IF(AW$8&lt;=$B$66,AW65*INDEX(Inputs!$W$13:$AF$13,MATCH('Cash Flow - Modular'!AW10,Inputs!$W$6:$AF$6,0))/12,0)</f>
        <v>0</v>
      </c>
      <c r="AX68" s="7">
        <f>IF(AX$8&lt;=$B$66,AX65*INDEX(Inputs!$W$13:$AF$13,MATCH('Cash Flow - Modular'!AX10,Inputs!$W$6:$AF$6,0))/12,0)</f>
        <v>0</v>
      </c>
      <c r="AY68" s="7">
        <f>IF(AY$8&lt;=$B$66,AY65*INDEX(Inputs!$W$13:$AF$13,MATCH('Cash Flow - Modular'!AY10,Inputs!$W$6:$AF$6,0))/12,0)</f>
        <v>0</v>
      </c>
      <c r="AZ68" s="7">
        <f>IF(AZ$8&lt;=$B$66,AZ65*INDEX(Inputs!$W$13:$AF$13,MATCH('Cash Flow - Modular'!AZ10,Inputs!$W$6:$AF$6,0))/12,0)</f>
        <v>0</v>
      </c>
      <c r="BA68" s="7">
        <f>IF(BA$8&lt;=$B$66,BA65*INDEX(Inputs!$W$13:$AF$13,MATCH('Cash Flow - Modular'!BA10,Inputs!$W$6:$AF$6,0))/12,0)</f>
        <v>0</v>
      </c>
      <c r="BB68" s="7">
        <f>IF(BB$8&lt;=$B$66,BB65*INDEX(Inputs!$W$13:$AF$13,MATCH('Cash Flow - Modular'!BB10,Inputs!$W$6:$AF$6,0))/12,0)</f>
        <v>0</v>
      </c>
      <c r="BC68" s="7">
        <f>IF(BC$8&lt;=$B$66,BC65*INDEX(Inputs!$W$13:$AF$13,MATCH('Cash Flow - Modular'!BC10,Inputs!$W$6:$AF$6,0))/12,0)</f>
        <v>0</v>
      </c>
      <c r="BD68" s="7">
        <f>IF(BD$8&lt;=$B$66,BD65*INDEX(Inputs!$W$13:$AF$13,MATCH('Cash Flow - Modular'!BD10,Inputs!$W$6:$AF$6,0))/12,0)</f>
        <v>0</v>
      </c>
      <c r="BE68" s="7">
        <f>IF(BE$8&lt;=$B$66,BE65*INDEX(Inputs!$W$13:$AF$13,MATCH('Cash Flow - Modular'!BE10,Inputs!$W$6:$AF$6,0))/12,0)</f>
        <v>0</v>
      </c>
      <c r="BF68" s="7">
        <f>IF(BF$8&lt;=$B$66,BF65*INDEX(Inputs!$W$13:$AF$13,MATCH('Cash Flow - Modular'!BF10,Inputs!$W$6:$AF$6,0))/12,0)</f>
        <v>0</v>
      </c>
      <c r="BG68" s="7">
        <f>IF(BG$8&lt;=$B$66,BG65*INDEX(Inputs!$W$13:$AF$13,MATCH('Cash Flow - Modular'!BG10,Inputs!$W$6:$AF$6,0))/12,0)</f>
        <v>0</v>
      </c>
      <c r="BH68" s="7">
        <f>IF(BH$8&lt;=$B$66,BH65*INDEX(Inputs!$W$13:$AF$13,MATCH('Cash Flow - Modular'!BH10,Inputs!$W$6:$AF$6,0))/12,0)</f>
        <v>0</v>
      </c>
      <c r="BI68" s="7">
        <f>IF(BI$8&lt;=$B$66,BI65*INDEX(Inputs!$W$13:$AF$13,MATCH('Cash Flow - Modular'!BI10,Inputs!$W$6:$AF$6,0))/12,0)</f>
        <v>0</v>
      </c>
      <c r="BJ68" s="7">
        <f>IF(BJ$8&lt;=$B$66,BJ65*INDEX(Inputs!$W$13:$AF$13,MATCH('Cash Flow - Modular'!BJ10,Inputs!$W$6:$AF$6,0))/12,0)</f>
        <v>0</v>
      </c>
      <c r="BK68" s="7">
        <f>IF(BK$8&lt;=$B$66,BK65*INDEX(Inputs!$W$13:$AF$13,MATCH('Cash Flow - Modular'!BK10,Inputs!$W$6:$AF$6,0))/12,0)</f>
        <v>0</v>
      </c>
    </row>
    <row r="69" spans="1:63">
      <c r="A69" s="11" t="s">
        <v>239</v>
      </c>
      <c r="C69" s="7">
        <f>IF(C$8&lt;=$B$66,C65*INDEX(Inputs!$W$18:$AF$18,MATCH('Cash Flow - Modular'!C10,Inputs!$W$6:$AF$6,0))/12,0)</f>
        <v>0</v>
      </c>
      <c r="D69" s="7">
        <f>IF(D$8&lt;=$B$66,D65*INDEX(Inputs!$W$18:$AF$18,MATCH('Cash Flow - Modular'!D10,Inputs!$W$6:$AF$6,0))/12,0)</f>
        <v>0</v>
      </c>
      <c r="E69" s="7">
        <f>IF(E$8&lt;=$B$66,E65*INDEX(Inputs!$W$18:$AF$18,MATCH('Cash Flow - Modular'!E10,Inputs!$W$6:$AF$6,0))/12,0)</f>
        <v>0</v>
      </c>
      <c r="F69" s="7">
        <f>IF(F$8&lt;=$B$66,F65*INDEX(Inputs!$W$18:$AF$18,MATCH('Cash Flow - Modular'!F10,Inputs!$W$6:$AF$6,0))/12,0)</f>
        <v>0</v>
      </c>
      <c r="G69" s="7">
        <f>IF(G$8&lt;=$B$66,G65*INDEX(Inputs!$W$18:$AF$18,MATCH('Cash Flow - Modular'!G10,Inputs!$W$6:$AF$6,0))/12,0)</f>
        <v>0</v>
      </c>
      <c r="H69" s="7">
        <f>IF(H$8&lt;=$B$66,H65*INDEX(Inputs!$W$18:$AF$18,MATCH('Cash Flow - Modular'!H10,Inputs!$W$6:$AF$6,0))/12,0)</f>
        <v>0</v>
      </c>
      <c r="I69" s="7">
        <f>IF(I$8&lt;=$B$66,I65*INDEX(Inputs!$W$18:$AF$18,MATCH('Cash Flow - Modular'!I10,Inputs!$W$6:$AF$6,0))/12,0)</f>
        <v>0</v>
      </c>
      <c r="J69" s="7">
        <f>IF(J$8&lt;=$B$66,J65*INDEX(Inputs!$W$18:$AF$18,MATCH('Cash Flow - Modular'!J10,Inputs!$W$6:$AF$6,0))/12,0)</f>
        <v>0</v>
      </c>
      <c r="K69" s="7">
        <f>IF(K$8&lt;=$B$66,K65*INDEX(Inputs!$W$18:$AF$18,MATCH('Cash Flow - Modular'!K10,Inputs!$W$6:$AF$6,0))/12,0)</f>
        <v>0</v>
      </c>
      <c r="L69" s="7">
        <f>IF(L$8&lt;=$B$66,L65*INDEX(Inputs!$W$18:$AF$18,MATCH('Cash Flow - Modular'!L10,Inputs!$W$6:$AF$6,0))/12,0)</f>
        <v>0</v>
      </c>
      <c r="M69" s="7">
        <f>IF(M$8&lt;=$B$66,M65*INDEX(Inputs!$W$18:$AF$18,MATCH('Cash Flow - Modular'!M10,Inputs!$W$6:$AF$6,0))/12,0)</f>
        <v>0</v>
      </c>
      <c r="N69" s="7">
        <f>IF(N$8&lt;=$B$66,N65*INDEX(Inputs!$W$18:$AF$18,MATCH('Cash Flow - Modular'!N10,Inputs!$W$6:$AF$6,0))/12,0)</f>
        <v>0</v>
      </c>
      <c r="O69" s="7">
        <f>IF(O$8&lt;=$B$66,O65*INDEX(Inputs!$W$18:$AF$18,MATCH('Cash Flow - Modular'!O10,Inputs!$W$6:$AF$6,0))/12,0)</f>
        <v>0</v>
      </c>
      <c r="P69" s="7">
        <f>IF(P$8&lt;=$B$66,P65*INDEX(Inputs!$W$18:$AF$18,MATCH('Cash Flow - Modular'!P10,Inputs!$W$6:$AF$6,0))/12,0)</f>
        <v>0</v>
      </c>
      <c r="Q69" s="7">
        <f>IF(Q$8&lt;=$B$66,Q65*INDEX(Inputs!$W$18:$AF$18,MATCH('Cash Flow - Modular'!Q10,Inputs!$W$6:$AF$6,0))/12,0)</f>
        <v>0</v>
      </c>
      <c r="R69" s="7">
        <f>IF(R$8&lt;=$B$66,R65*INDEX(Inputs!$W$18:$AF$18,MATCH('Cash Flow - Modular'!R10,Inputs!$W$6:$AF$6,0))/12,0)</f>
        <v>0</v>
      </c>
      <c r="S69" s="7">
        <f>IF(S$8&lt;=$B$66,S65*INDEX(Inputs!$W$18:$AF$18,MATCH('Cash Flow - Modular'!S10,Inputs!$W$6:$AF$6,0))/12,0)</f>
        <v>-11123.957142857143</v>
      </c>
      <c r="T69" s="7">
        <f>IF(T$8&lt;=$B$66,T65*INDEX(Inputs!$W$18:$AF$18,MATCH('Cash Flow - Modular'!T10,Inputs!$W$6:$AF$6,0))/12,0)</f>
        <v>-22247.914285714287</v>
      </c>
      <c r="U69" s="7">
        <f>IF(U$8&lt;=$B$66,U65*INDEX(Inputs!$W$18:$AF$18,MATCH('Cash Flow - Modular'!U10,Inputs!$W$6:$AF$6,0))/12,0)</f>
        <v>-33371.87142857143</v>
      </c>
      <c r="V69" s="7">
        <f>IF(V$8&lt;=$B$66,V65*INDEX(Inputs!$W$18:$AF$18,MATCH('Cash Flow - Modular'!V10,Inputs!$W$6:$AF$6,0))/12,0)</f>
        <v>-44495.828571428574</v>
      </c>
      <c r="W69" s="7">
        <f>IF(W$8&lt;=$B$66,W65*INDEX(Inputs!$W$18:$AF$18,MATCH('Cash Flow - Modular'!W10,Inputs!$W$6:$AF$6,0))/12,0)</f>
        <v>-55619.785714285717</v>
      </c>
      <c r="X69" s="7">
        <f>IF(X$8&lt;=$B$66,X65*INDEX(Inputs!$W$18:$AF$18,MATCH('Cash Flow - Modular'!X10,Inputs!$W$6:$AF$6,0))/12,0)</f>
        <v>-66743.742857142861</v>
      </c>
      <c r="Y69" s="7">
        <f>IF(Y$8&lt;=$B$66,Y65*INDEX(Inputs!$W$18:$AF$18,MATCH('Cash Flow - Modular'!Y10,Inputs!$W$6:$AF$6,0))/12,0)</f>
        <v>-77867.7</v>
      </c>
      <c r="Z69" s="7">
        <f>IF(Z$8&lt;=$B$66,Z65*INDEX(Inputs!$W$18:$AF$18,MATCH('Cash Flow - Modular'!Z10,Inputs!$W$6:$AF$6,0))/12,0)</f>
        <v>-88991.657142857148</v>
      </c>
      <c r="AA69" s="7">
        <f>IF(AA$8&lt;=$B$66,AA65*INDEX(Inputs!$W$18:$AF$18,MATCH('Cash Flow - Modular'!AA10,Inputs!$W$6:$AF$6,0))/12,0)</f>
        <v>-100115.6142857143</v>
      </c>
      <c r="AB69" s="7">
        <f>IF(AB$8&lt;=$B$66,AB65*INDEX(Inputs!$W$18:$AF$18,MATCH('Cash Flow - Modular'!AB10,Inputs!$W$6:$AF$6,0))/12,0)</f>
        <v>-113490.15869047619</v>
      </c>
      <c r="AC69" s="7">
        <f>IF(AC$8&lt;=$B$66,AC65*INDEX(Inputs!$W$18:$AF$18,MATCH('Cash Flow - Modular'!AC10,Inputs!$W$6:$AF$6,0))/12,0)</f>
        <v>-124839.17455952382</v>
      </c>
      <c r="AD69" s="7">
        <f>IF(AD$8&lt;=$B$66,AD65*INDEX(Inputs!$W$18:$AF$18,MATCH('Cash Flow - Modular'!AD10,Inputs!$W$6:$AF$6,0))/12,0)</f>
        <v>-136188.19042857143</v>
      </c>
      <c r="AE69" s="7">
        <f>IF(AE$8&lt;=$B$66,AE65*INDEX(Inputs!$W$18:$AF$18,MATCH('Cash Flow - Modular'!AE10,Inputs!$W$6:$AF$6,0))/12,0)</f>
        <v>0</v>
      </c>
      <c r="AF69" s="7">
        <f>IF(AF$8&lt;=$B$66,AF65*INDEX(Inputs!$W$18:$AF$18,MATCH('Cash Flow - Modular'!AF10,Inputs!$W$6:$AF$6,0))/12,0)</f>
        <v>0</v>
      </c>
      <c r="AG69" s="7">
        <f>IF(AG$8&lt;=$B$66,AG65*INDEX(Inputs!$W$18:$AF$18,MATCH('Cash Flow - Modular'!AG10,Inputs!$W$6:$AF$6,0))/12,0)</f>
        <v>0</v>
      </c>
      <c r="AH69" s="7">
        <f>IF(AH$8&lt;=$B$66,AH65*INDEX(Inputs!$W$18:$AF$18,MATCH('Cash Flow - Modular'!AH10,Inputs!$W$6:$AF$6,0))/12,0)</f>
        <v>0</v>
      </c>
      <c r="AI69" s="7">
        <f>IF(AI$8&lt;=$B$66,AI65*INDEX(Inputs!$W$18:$AF$18,MATCH('Cash Flow - Modular'!AI10,Inputs!$W$6:$AF$6,0))/12,0)</f>
        <v>0</v>
      </c>
      <c r="AJ69" s="7">
        <f>IF(AJ$8&lt;=$B$66,AJ65*INDEX(Inputs!$W$18:$AF$18,MATCH('Cash Flow - Modular'!AJ10,Inputs!$W$6:$AF$6,0))/12,0)</f>
        <v>0</v>
      </c>
      <c r="AK69" s="7">
        <f>IF(AK$8&lt;=$B$66,AK65*INDEX(Inputs!$W$18:$AF$18,MATCH('Cash Flow - Modular'!AK10,Inputs!$W$6:$AF$6,0))/12,0)</f>
        <v>0</v>
      </c>
      <c r="AL69" s="7">
        <f>IF(AL$8&lt;=$B$66,AL65*INDEX(Inputs!$W$18:$AF$18,MATCH('Cash Flow - Modular'!AL10,Inputs!$W$6:$AF$6,0))/12,0)</f>
        <v>0</v>
      </c>
      <c r="AM69" s="7">
        <f>IF(AM$8&lt;=$B$66,AM65*INDEX(Inputs!$W$18:$AF$18,MATCH('Cash Flow - Modular'!AM10,Inputs!$W$6:$AF$6,0))/12,0)</f>
        <v>0</v>
      </c>
      <c r="AN69" s="7">
        <f>IF(AN$8&lt;=$B$66,AN65*INDEX(Inputs!$W$18:$AF$18,MATCH('Cash Flow - Modular'!AN10,Inputs!$W$6:$AF$6,0))/12,0)</f>
        <v>0</v>
      </c>
      <c r="AO69" s="7">
        <f>IF(AO$8&lt;=$B$66,AO65*INDEX(Inputs!$W$18:$AF$18,MATCH('Cash Flow - Modular'!AO10,Inputs!$W$6:$AF$6,0))/12,0)</f>
        <v>0</v>
      </c>
      <c r="AP69" s="7">
        <f>IF(AP$8&lt;=$B$66,AP65*INDEX(Inputs!$W$18:$AF$18,MATCH('Cash Flow - Modular'!AP10,Inputs!$W$6:$AF$6,0))/12,0)</f>
        <v>0</v>
      </c>
      <c r="AQ69" s="7">
        <f>IF(AQ$8&lt;=$B$66,AQ65*INDEX(Inputs!$W$18:$AF$18,MATCH('Cash Flow - Modular'!AQ10,Inputs!$W$6:$AF$6,0))/12,0)</f>
        <v>0</v>
      </c>
      <c r="AR69" s="7">
        <f>IF(AR$8&lt;=$B$66,AR65*INDEX(Inputs!$W$18:$AF$18,MATCH('Cash Flow - Modular'!AR10,Inputs!$W$6:$AF$6,0))/12,0)</f>
        <v>0</v>
      </c>
      <c r="AS69" s="7">
        <f>IF(AS$8&lt;=$B$66,AS65*INDEX(Inputs!$W$18:$AF$18,MATCH('Cash Flow - Modular'!AS10,Inputs!$W$6:$AF$6,0))/12,0)</f>
        <v>0</v>
      </c>
      <c r="AT69" s="7">
        <f>IF(AT$8&lt;=$B$66,AT65*INDEX(Inputs!$W$18:$AF$18,MATCH('Cash Flow - Modular'!AT10,Inputs!$W$6:$AF$6,0))/12,0)</f>
        <v>0</v>
      </c>
      <c r="AU69" s="7">
        <f>IF(AU$8&lt;=$B$66,AU65*INDEX(Inputs!$W$18:$AF$18,MATCH('Cash Flow - Modular'!AU10,Inputs!$W$6:$AF$6,0))/12,0)</f>
        <v>0</v>
      </c>
      <c r="AV69" s="7">
        <f>IF(AV$8&lt;=$B$66,AV65*INDEX(Inputs!$W$18:$AF$18,MATCH('Cash Flow - Modular'!AV10,Inputs!$W$6:$AF$6,0))/12,0)</f>
        <v>0</v>
      </c>
      <c r="AW69" s="7">
        <f>IF(AW$8&lt;=$B$66,AW65*INDEX(Inputs!$W$18:$AF$18,MATCH('Cash Flow - Modular'!AW10,Inputs!$W$6:$AF$6,0))/12,0)</f>
        <v>0</v>
      </c>
      <c r="AX69" s="7">
        <f>IF(AX$8&lt;=$B$66,AX65*INDEX(Inputs!$W$18:$AF$18,MATCH('Cash Flow - Modular'!AX10,Inputs!$W$6:$AF$6,0))/12,0)</f>
        <v>0</v>
      </c>
      <c r="AY69" s="7">
        <f>IF(AY$8&lt;=$B$66,AY65*INDEX(Inputs!$W$18:$AF$18,MATCH('Cash Flow - Modular'!AY10,Inputs!$W$6:$AF$6,0))/12,0)</f>
        <v>0</v>
      </c>
      <c r="AZ69" s="7">
        <f>IF(AZ$8&lt;=$B$66,AZ65*INDEX(Inputs!$W$18:$AF$18,MATCH('Cash Flow - Modular'!AZ10,Inputs!$W$6:$AF$6,0))/12,0)</f>
        <v>0</v>
      </c>
      <c r="BA69" s="7">
        <f>IF(BA$8&lt;=$B$66,BA65*INDEX(Inputs!$W$18:$AF$18,MATCH('Cash Flow - Modular'!BA10,Inputs!$W$6:$AF$6,0))/12,0)</f>
        <v>0</v>
      </c>
      <c r="BB69" s="7">
        <f>IF(BB$8&lt;=$B$66,BB65*INDEX(Inputs!$W$18:$AF$18,MATCH('Cash Flow - Modular'!BB10,Inputs!$W$6:$AF$6,0))/12,0)</f>
        <v>0</v>
      </c>
      <c r="BC69" s="7">
        <f>IF(BC$8&lt;=$B$66,BC65*INDEX(Inputs!$W$18:$AF$18,MATCH('Cash Flow - Modular'!BC10,Inputs!$W$6:$AF$6,0))/12,0)</f>
        <v>0</v>
      </c>
      <c r="BD69" s="7">
        <f>IF(BD$8&lt;=$B$66,BD65*INDEX(Inputs!$W$18:$AF$18,MATCH('Cash Flow - Modular'!BD10,Inputs!$W$6:$AF$6,0))/12,0)</f>
        <v>0</v>
      </c>
      <c r="BE69" s="7">
        <f>IF(BE$8&lt;=$B$66,BE65*INDEX(Inputs!$W$18:$AF$18,MATCH('Cash Flow - Modular'!BE10,Inputs!$W$6:$AF$6,0))/12,0)</f>
        <v>0</v>
      </c>
      <c r="BF69" s="7">
        <f>IF(BF$8&lt;=$B$66,BF65*INDEX(Inputs!$W$18:$AF$18,MATCH('Cash Flow - Modular'!BF10,Inputs!$W$6:$AF$6,0))/12,0)</f>
        <v>0</v>
      </c>
      <c r="BG69" s="7">
        <f>IF(BG$8&lt;=$B$66,BG65*INDEX(Inputs!$W$18:$AF$18,MATCH('Cash Flow - Modular'!BG10,Inputs!$W$6:$AF$6,0))/12,0)</f>
        <v>0</v>
      </c>
      <c r="BH69" s="7">
        <f>IF(BH$8&lt;=$B$66,BH65*INDEX(Inputs!$W$18:$AF$18,MATCH('Cash Flow - Modular'!BH10,Inputs!$W$6:$AF$6,0))/12,0)</f>
        <v>0</v>
      </c>
      <c r="BI69" s="7">
        <f>IF(BI$8&lt;=$B$66,BI65*INDEX(Inputs!$W$18:$AF$18,MATCH('Cash Flow - Modular'!BI10,Inputs!$W$6:$AF$6,0))/12,0)</f>
        <v>0</v>
      </c>
      <c r="BJ69" s="7">
        <f>IF(BJ$8&lt;=$B$66,BJ65*INDEX(Inputs!$W$18:$AF$18,MATCH('Cash Flow - Modular'!BJ10,Inputs!$W$6:$AF$6,0))/12,0)</f>
        <v>0</v>
      </c>
      <c r="BK69" s="7">
        <f>IF(BK$8&lt;=$B$66,BK65*INDEX(Inputs!$W$18:$AF$18,MATCH('Cash Flow - Modular'!BK10,Inputs!$W$6:$AF$6,0))/12,0)</f>
        <v>0</v>
      </c>
    </row>
    <row r="70" spans="1:63">
      <c r="A70" s="11"/>
      <c r="B70" s="31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</row>
    <row r="71" spans="1:63" ht="16" thickBot="1">
      <c r="A71" s="32" t="s">
        <v>234</v>
      </c>
      <c r="B71" s="33"/>
      <c r="C71" s="34">
        <f>SUM(C68:C69)</f>
        <v>0</v>
      </c>
      <c r="D71" s="34">
        <f t="shared" ref="D71:BK71" si="252">SUM(D68:D69)</f>
        <v>0</v>
      </c>
      <c r="E71" s="34">
        <f t="shared" si="252"/>
        <v>0</v>
      </c>
      <c r="F71" s="34">
        <f t="shared" si="252"/>
        <v>0</v>
      </c>
      <c r="G71" s="34">
        <f t="shared" si="252"/>
        <v>0</v>
      </c>
      <c r="H71" s="34">
        <f t="shared" si="252"/>
        <v>0</v>
      </c>
      <c r="I71" s="34">
        <f t="shared" si="252"/>
        <v>0</v>
      </c>
      <c r="J71" s="34">
        <f t="shared" si="252"/>
        <v>0</v>
      </c>
      <c r="K71" s="34">
        <f t="shared" si="252"/>
        <v>0</v>
      </c>
      <c r="L71" s="34">
        <f t="shared" si="252"/>
        <v>0</v>
      </c>
      <c r="M71" s="34">
        <f t="shared" si="252"/>
        <v>0</v>
      </c>
      <c r="N71" s="34">
        <f t="shared" si="252"/>
        <v>0</v>
      </c>
      <c r="O71" s="34">
        <f t="shared" si="252"/>
        <v>0</v>
      </c>
      <c r="P71" s="34">
        <f t="shared" si="252"/>
        <v>0</v>
      </c>
      <c r="Q71" s="34">
        <f t="shared" si="252"/>
        <v>0</v>
      </c>
      <c r="R71" s="34">
        <f t="shared" si="252"/>
        <v>0</v>
      </c>
      <c r="S71" s="34">
        <f t="shared" si="252"/>
        <v>17845.209523809517</v>
      </c>
      <c r="T71" s="34">
        <f t="shared" si="252"/>
        <v>35690.419047619034</v>
      </c>
      <c r="U71" s="34">
        <f t="shared" si="252"/>
        <v>53535.628571428555</v>
      </c>
      <c r="V71" s="34">
        <f t="shared" si="252"/>
        <v>71380.838095238068</v>
      </c>
      <c r="W71" s="34">
        <f t="shared" si="252"/>
        <v>89226.047619047604</v>
      </c>
      <c r="X71" s="34">
        <f t="shared" si="252"/>
        <v>107071.25714285711</v>
      </c>
      <c r="Y71" s="34">
        <f t="shared" si="252"/>
        <v>124916.46666666663</v>
      </c>
      <c r="Z71" s="34">
        <f t="shared" si="252"/>
        <v>142761.67619047614</v>
      </c>
      <c r="AA71" s="34">
        <f t="shared" si="252"/>
        <v>160606.88571428566</v>
      </c>
      <c r="AB71" s="34">
        <f t="shared" si="252"/>
        <v>183285.13297619042</v>
      </c>
      <c r="AC71" s="34">
        <f t="shared" si="252"/>
        <v>201613.64627380949</v>
      </c>
      <c r="AD71" s="34">
        <f t="shared" si="252"/>
        <v>219942.15957142849</v>
      </c>
      <c r="AE71" s="34">
        <f t="shared" si="252"/>
        <v>0</v>
      </c>
      <c r="AF71" s="34">
        <f t="shared" si="252"/>
        <v>0</v>
      </c>
      <c r="AG71" s="34">
        <f t="shared" si="252"/>
        <v>0</v>
      </c>
      <c r="AH71" s="34">
        <f t="shared" si="252"/>
        <v>0</v>
      </c>
      <c r="AI71" s="34">
        <f t="shared" si="252"/>
        <v>0</v>
      </c>
      <c r="AJ71" s="34">
        <f t="shared" si="252"/>
        <v>0</v>
      </c>
      <c r="AK71" s="34">
        <f t="shared" si="252"/>
        <v>0</v>
      </c>
      <c r="AL71" s="34">
        <f t="shared" si="252"/>
        <v>0</v>
      </c>
      <c r="AM71" s="34">
        <f t="shared" si="252"/>
        <v>0</v>
      </c>
      <c r="AN71" s="34">
        <f t="shared" si="252"/>
        <v>0</v>
      </c>
      <c r="AO71" s="34">
        <f t="shared" si="252"/>
        <v>0</v>
      </c>
      <c r="AP71" s="34">
        <f t="shared" si="252"/>
        <v>0</v>
      </c>
      <c r="AQ71" s="34">
        <f t="shared" si="252"/>
        <v>0</v>
      </c>
      <c r="AR71" s="34">
        <f t="shared" si="252"/>
        <v>0</v>
      </c>
      <c r="AS71" s="34">
        <f t="shared" si="252"/>
        <v>0</v>
      </c>
      <c r="AT71" s="34">
        <f t="shared" si="252"/>
        <v>0</v>
      </c>
      <c r="AU71" s="34">
        <f t="shared" si="252"/>
        <v>0</v>
      </c>
      <c r="AV71" s="34">
        <f t="shared" si="252"/>
        <v>0</v>
      </c>
      <c r="AW71" s="34">
        <f t="shared" si="252"/>
        <v>0</v>
      </c>
      <c r="AX71" s="34">
        <f t="shared" si="252"/>
        <v>0</v>
      </c>
      <c r="AY71" s="34">
        <f t="shared" si="252"/>
        <v>0</v>
      </c>
      <c r="AZ71" s="34">
        <f t="shared" si="252"/>
        <v>0</v>
      </c>
      <c r="BA71" s="34">
        <f t="shared" si="252"/>
        <v>0</v>
      </c>
      <c r="BB71" s="34">
        <f t="shared" si="252"/>
        <v>0</v>
      </c>
      <c r="BC71" s="34">
        <f t="shared" si="252"/>
        <v>0</v>
      </c>
      <c r="BD71" s="34">
        <f t="shared" si="252"/>
        <v>0</v>
      </c>
      <c r="BE71" s="34">
        <f t="shared" si="252"/>
        <v>0</v>
      </c>
      <c r="BF71" s="34">
        <f t="shared" si="252"/>
        <v>0</v>
      </c>
      <c r="BG71" s="34">
        <f t="shared" si="252"/>
        <v>0</v>
      </c>
      <c r="BH71" s="34">
        <f t="shared" si="252"/>
        <v>0</v>
      </c>
      <c r="BI71" s="34">
        <f t="shared" si="252"/>
        <v>0</v>
      </c>
      <c r="BJ71" s="34">
        <f t="shared" si="252"/>
        <v>0</v>
      </c>
      <c r="BK71" s="34">
        <f t="shared" si="252"/>
        <v>0</v>
      </c>
    </row>
    <row r="72" spans="1:63">
      <c r="A72" t="s">
        <v>240</v>
      </c>
      <c r="B72" s="35"/>
      <c r="C72" s="21">
        <f t="shared" ref="C72:AH72" si="253">IF(C65&gt;0,C71+C49,0)</f>
        <v>0</v>
      </c>
      <c r="D72" s="21">
        <f t="shared" si="253"/>
        <v>0</v>
      </c>
      <c r="E72" s="21">
        <f t="shared" si="253"/>
        <v>0</v>
      </c>
      <c r="F72" s="21">
        <f t="shared" si="253"/>
        <v>0</v>
      </c>
      <c r="G72" s="21">
        <f t="shared" si="253"/>
        <v>0</v>
      </c>
      <c r="H72" s="21">
        <f t="shared" si="253"/>
        <v>0</v>
      </c>
      <c r="I72" s="21">
        <f t="shared" si="253"/>
        <v>0</v>
      </c>
      <c r="J72" s="21">
        <f t="shared" si="253"/>
        <v>0</v>
      </c>
      <c r="K72" s="21">
        <f t="shared" si="253"/>
        <v>0</v>
      </c>
      <c r="L72" s="21">
        <f t="shared" si="253"/>
        <v>0</v>
      </c>
      <c r="M72" s="21">
        <f t="shared" si="253"/>
        <v>0</v>
      </c>
      <c r="N72" s="21">
        <f t="shared" si="253"/>
        <v>0</v>
      </c>
      <c r="O72" s="21">
        <f t="shared" si="253"/>
        <v>0</v>
      </c>
      <c r="P72" s="21">
        <f t="shared" si="253"/>
        <v>0</v>
      </c>
      <c r="Q72" s="21">
        <f t="shared" si="253"/>
        <v>0</v>
      </c>
      <c r="R72" s="21">
        <f t="shared" si="253"/>
        <v>0</v>
      </c>
      <c r="S72" s="21">
        <f t="shared" ca="1" si="253"/>
        <v>-166166.23563722544</v>
      </c>
      <c r="T72" s="21">
        <f t="shared" ca="1" si="253"/>
        <v>-149316.46924490639</v>
      </c>
      <c r="U72" s="21">
        <f t="shared" ca="1" si="253"/>
        <v>-132353.61717219232</v>
      </c>
      <c r="V72" s="21">
        <f t="shared" ca="1" si="253"/>
        <v>-115276.92045478457</v>
      </c>
      <c r="W72" s="21">
        <f t="shared" ca="1" si="253"/>
        <v>-98085.615034664399</v>
      </c>
      <c r="X72" s="21">
        <f t="shared" ca="1" si="253"/>
        <v>-80778.931725906979</v>
      </c>
      <c r="Y72" s="21">
        <f t="shared" ca="1" si="253"/>
        <v>-63356.09618026558</v>
      </c>
      <c r="Z72" s="21">
        <f t="shared" ca="1" si="253"/>
        <v>-45816.328852525679</v>
      </c>
      <c r="AA72" s="21">
        <f t="shared" ca="1" si="253"/>
        <v>-28158.844965625467</v>
      </c>
      <c r="AB72" s="21">
        <f t="shared" ca="1" si="253"/>
        <v>-5517.3739754819544</v>
      </c>
      <c r="AC72" s="21">
        <f t="shared" ca="1" si="253"/>
        <v>12811.139322137111</v>
      </c>
      <c r="AD72" s="21">
        <f t="shared" si="253"/>
        <v>219942.15957142849</v>
      </c>
      <c r="AE72" s="21">
        <f t="shared" si="253"/>
        <v>0</v>
      </c>
      <c r="AF72" s="21">
        <f t="shared" si="253"/>
        <v>0</v>
      </c>
      <c r="AG72" s="21">
        <f t="shared" si="253"/>
        <v>0</v>
      </c>
      <c r="AH72" s="21">
        <f t="shared" si="253"/>
        <v>0</v>
      </c>
      <c r="AI72" s="21">
        <f t="shared" ref="AI72:BK72" si="254">IF(AI65&gt;0,AI71+AI49,0)</f>
        <v>0</v>
      </c>
      <c r="AJ72" s="21">
        <f t="shared" si="254"/>
        <v>0</v>
      </c>
      <c r="AK72" s="21">
        <f t="shared" si="254"/>
        <v>0</v>
      </c>
      <c r="AL72" s="21">
        <f t="shared" si="254"/>
        <v>0</v>
      </c>
      <c r="AM72" s="21">
        <f t="shared" si="254"/>
        <v>0</v>
      </c>
      <c r="AN72" s="21">
        <f t="shared" si="254"/>
        <v>0</v>
      </c>
      <c r="AO72" s="21">
        <f t="shared" si="254"/>
        <v>0</v>
      </c>
      <c r="AP72" s="21">
        <f t="shared" si="254"/>
        <v>0</v>
      </c>
      <c r="AQ72" s="21">
        <f t="shared" si="254"/>
        <v>0</v>
      </c>
      <c r="AR72" s="21">
        <f t="shared" si="254"/>
        <v>0</v>
      </c>
      <c r="AS72" s="21">
        <f t="shared" si="254"/>
        <v>0</v>
      </c>
      <c r="AT72" s="21">
        <f t="shared" si="254"/>
        <v>0</v>
      </c>
      <c r="AU72" s="21">
        <f t="shared" si="254"/>
        <v>0</v>
      </c>
      <c r="AV72" s="21">
        <f t="shared" si="254"/>
        <v>0</v>
      </c>
      <c r="AW72" s="21">
        <f t="shared" si="254"/>
        <v>0</v>
      </c>
      <c r="AX72" s="21">
        <f t="shared" si="254"/>
        <v>0</v>
      </c>
      <c r="AY72" s="21">
        <f t="shared" si="254"/>
        <v>0</v>
      </c>
      <c r="AZ72" s="21">
        <f t="shared" si="254"/>
        <v>0</v>
      </c>
      <c r="BA72" s="21">
        <f t="shared" si="254"/>
        <v>0</v>
      </c>
      <c r="BB72" s="21">
        <f t="shared" si="254"/>
        <v>0</v>
      </c>
      <c r="BC72" s="21">
        <f t="shared" si="254"/>
        <v>0</v>
      </c>
      <c r="BD72" s="21">
        <f t="shared" si="254"/>
        <v>0</v>
      </c>
      <c r="BE72" s="21">
        <f t="shared" si="254"/>
        <v>0</v>
      </c>
      <c r="BF72" s="21">
        <f t="shared" si="254"/>
        <v>0</v>
      </c>
      <c r="BG72" s="21">
        <f t="shared" si="254"/>
        <v>0</v>
      </c>
      <c r="BH72" s="21">
        <f t="shared" si="254"/>
        <v>0</v>
      </c>
      <c r="BI72" s="21">
        <f t="shared" si="254"/>
        <v>0</v>
      </c>
      <c r="BJ72" s="21">
        <f t="shared" si="254"/>
        <v>0</v>
      </c>
      <c r="BK72" s="21">
        <f t="shared" si="254"/>
        <v>0</v>
      </c>
    </row>
    <row r="73" spans="1:63"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</row>
    <row r="74" spans="1:63">
      <c r="A74" s="330" t="s">
        <v>192</v>
      </c>
      <c r="B74" s="330"/>
      <c r="C74" s="330"/>
      <c r="D74" s="330"/>
      <c r="E74" s="330"/>
      <c r="F74" s="330"/>
      <c r="G74" s="330"/>
      <c r="H74" s="330"/>
      <c r="I74" s="330"/>
      <c r="J74" s="330"/>
      <c r="K74" s="330"/>
      <c r="L74" s="330"/>
      <c r="M74" s="330"/>
      <c r="N74" s="330"/>
      <c r="O74" s="330"/>
      <c r="P74" s="330"/>
      <c r="Q74" s="330"/>
      <c r="R74" s="330"/>
      <c r="S74" s="330"/>
      <c r="T74" s="330"/>
      <c r="U74" s="330"/>
      <c r="V74" s="330"/>
      <c r="W74" s="330"/>
      <c r="X74" s="330"/>
      <c r="Y74" s="330"/>
      <c r="Z74" s="330"/>
      <c r="AA74" s="330"/>
      <c r="AB74" s="330"/>
      <c r="AC74" s="330"/>
      <c r="AD74" s="330"/>
      <c r="AE74" s="330"/>
      <c r="AF74" s="330"/>
      <c r="AG74" s="330"/>
      <c r="AH74" s="330"/>
      <c r="AI74" s="330"/>
      <c r="AJ74" s="330"/>
      <c r="AK74" s="330"/>
      <c r="AL74" s="330"/>
      <c r="AM74" s="330"/>
      <c r="AN74" s="330"/>
      <c r="AO74" s="330"/>
      <c r="AP74" s="330"/>
      <c r="AQ74" s="330"/>
      <c r="AR74" s="330"/>
      <c r="AS74" s="330"/>
      <c r="AT74" s="330"/>
      <c r="AU74" s="330"/>
      <c r="AV74" s="330"/>
      <c r="AW74" s="330"/>
      <c r="AX74" s="330"/>
      <c r="AY74" s="330"/>
      <c r="AZ74" s="330"/>
      <c r="BA74" s="330"/>
      <c r="BB74" s="330"/>
      <c r="BC74" s="330"/>
      <c r="BD74" s="330"/>
      <c r="BE74" s="330"/>
      <c r="BF74" s="330"/>
      <c r="BG74" s="330"/>
      <c r="BH74" s="330"/>
      <c r="BI74" s="330"/>
      <c r="BJ74" s="330"/>
      <c r="BK74" s="330"/>
    </row>
    <row r="75" spans="1:63">
      <c r="A75" t="s">
        <v>224</v>
      </c>
      <c r="B75" s="16">
        <f>Inputs!L96</f>
        <v>27</v>
      </c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</row>
    <row r="76" spans="1:63">
      <c r="A76" t="s">
        <v>241</v>
      </c>
      <c r="B76" s="36">
        <f>Inputs!F16</f>
        <v>0.05</v>
      </c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</row>
    <row r="77" spans="1:63">
      <c r="A77" t="s">
        <v>242</v>
      </c>
      <c r="B77" s="16">
        <f>INDEX(Inputs!W20:AF20,MATCH((INDEX(C10:BK10,MATCH(B75,C8:BK8))+1),Inputs!W6:AF6,0))</f>
        <v>2710748.6116542844</v>
      </c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</row>
    <row r="78" spans="1:63">
      <c r="A78" t="s">
        <v>243</v>
      </c>
      <c r="B78" s="16">
        <f>B77/B76</f>
        <v>54214972.233085684</v>
      </c>
      <c r="C78" s="17">
        <f t="shared" ref="C78:AH78" si="255">IF(C8=$B$75,$B$78,0)</f>
        <v>0</v>
      </c>
      <c r="D78" s="17">
        <f t="shared" si="255"/>
        <v>0</v>
      </c>
      <c r="E78" s="17">
        <f t="shared" si="255"/>
        <v>0</v>
      </c>
      <c r="F78" s="17">
        <f t="shared" si="255"/>
        <v>0</v>
      </c>
      <c r="G78" s="17">
        <f t="shared" si="255"/>
        <v>0</v>
      </c>
      <c r="H78" s="17">
        <f t="shared" si="255"/>
        <v>0</v>
      </c>
      <c r="I78" s="17">
        <f t="shared" si="255"/>
        <v>0</v>
      </c>
      <c r="J78" s="17">
        <f t="shared" si="255"/>
        <v>0</v>
      </c>
      <c r="K78" s="17">
        <f t="shared" si="255"/>
        <v>0</v>
      </c>
      <c r="L78" s="17">
        <f t="shared" si="255"/>
        <v>0</v>
      </c>
      <c r="M78" s="17">
        <f t="shared" si="255"/>
        <v>0</v>
      </c>
      <c r="N78" s="17">
        <f t="shared" si="255"/>
        <v>0</v>
      </c>
      <c r="O78" s="17">
        <f t="shared" si="255"/>
        <v>0</v>
      </c>
      <c r="P78" s="17">
        <f t="shared" si="255"/>
        <v>0</v>
      </c>
      <c r="Q78" s="17">
        <f t="shared" si="255"/>
        <v>0</v>
      </c>
      <c r="R78" s="17">
        <f t="shared" si="255"/>
        <v>0</v>
      </c>
      <c r="S78" s="17">
        <f t="shared" si="255"/>
        <v>0</v>
      </c>
      <c r="T78" s="17">
        <f t="shared" si="255"/>
        <v>0</v>
      </c>
      <c r="U78" s="17">
        <f t="shared" si="255"/>
        <v>0</v>
      </c>
      <c r="V78" s="17">
        <f t="shared" si="255"/>
        <v>0</v>
      </c>
      <c r="W78" s="17">
        <f t="shared" si="255"/>
        <v>0</v>
      </c>
      <c r="X78" s="17">
        <f t="shared" si="255"/>
        <v>0</v>
      </c>
      <c r="Y78" s="17">
        <f t="shared" si="255"/>
        <v>0</v>
      </c>
      <c r="Z78" s="17">
        <f t="shared" si="255"/>
        <v>0</v>
      </c>
      <c r="AA78" s="17">
        <f t="shared" si="255"/>
        <v>0</v>
      </c>
      <c r="AB78" s="17">
        <f t="shared" si="255"/>
        <v>0</v>
      </c>
      <c r="AC78" s="17">
        <f t="shared" si="255"/>
        <v>0</v>
      </c>
      <c r="AD78" s="17">
        <f t="shared" si="255"/>
        <v>54214972.233085684</v>
      </c>
      <c r="AE78" s="17">
        <f t="shared" si="255"/>
        <v>0</v>
      </c>
      <c r="AF78" s="17">
        <f t="shared" si="255"/>
        <v>0</v>
      </c>
      <c r="AG78" s="17">
        <f t="shared" si="255"/>
        <v>0</v>
      </c>
      <c r="AH78" s="17">
        <f t="shared" si="255"/>
        <v>0</v>
      </c>
      <c r="AI78" s="17">
        <f t="shared" ref="AI78:BK78" si="256">IF(AI8=$B$75,$B$78,0)</f>
        <v>0</v>
      </c>
      <c r="AJ78" s="17">
        <f t="shared" si="256"/>
        <v>0</v>
      </c>
      <c r="AK78" s="17">
        <f t="shared" si="256"/>
        <v>0</v>
      </c>
      <c r="AL78" s="17">
        <f t="shared" si="256"/>
        <v>0</v>
      </c>
      <c r="AM78" s="17">
        <f t="shared" si="256"/>
        <v>0</v>
      </c>
      <c r="AN78" s="17">
        <f t="shared" si="256"/>
        <v>0</v>
      </c>
      <c r="AO78" s="17">
        <f t="shared" si="256"/>
        <v>0</v>
      </c>
      <c r="AP78" s="17">
        <f t="shared" si="256"/>
        <v>0</v>
      </c>
      <c r="AQ78" s="17">
        <f t="shared" si="256"/>
        <v>0</v>
      </c>
      <c r="AR78" s="17">
        <f t="shared" si="256"/>
        <v>0</v>
      </c>
      <c r="AS78" s="17">
        <f t="shared" si="256"/>
        <v>0</v>
      </c>
      <c r="AT78" s="17">
        <f t="shared" si="256"/>
        <v>0</v>
      </c>
      <c r="AU78" s="17">
        <f t="shared" si="256"/>
        <v>0</v>
      </c>
      <c r="AV78" s="17">
        <f t="shared" si="256"/>
        <v>0</v>
      </c>
      <c r="AW78" s="17">
        <f t="shared" si="256"/>
        <v>0</v>
      </c>
      <c r="AX78" s="17">
        <f t="shared" si="256"/>
        <v>0</v>
      </c>
      <c r="AY78" s="17">
        <f t="shared" si="256"/>
        <v>0</v>
      </c>
      <c r="AZ78" s="17">
        <f t="shared" si="256"/>
        <v>0</v>
      </c>
      <c r="BA78" s="17">
        <f t="shared" si="256"/>
        <v>0</v>
      </c>
      <c r="BB78" s="17">
        <f t="shared" si="256"/>
        <v>0</v>
      </c>
      <c r="BC78" s="17">
        <f t="shared" si="256"/>
        <v>0</v>
      </c>
      <c r="BD78" s="17">
        <f t="shared" si="256"/>
        <v>0</v>
      </c>
      <c r="BE78" s="17">
        <f t="shared" si="256"/>
        <v>0</v>
      </c>
      <c r="BF78" s="17">
        <f t="shared" si="256"/>
        <v>0</v>
      </c>
      <c r="BG78" s="17">
        <f t="shared" si="256"/>
        <v>0</v>
      </c>
      <c r="BH78" s="17">
        <f t="shared" si="256"/>
        <v>0</v>
      </c>
      <c r="BI78" s="17">
        <f t="shared" si="256"/>
        <v>0</v>
      </c>
      <c r="BJ78" s="17">
        <f t="shared" si="256"/>
        <v>0</v>
      </c>
      <c r="BK78" s="17">
        <f t="shared" si="256"/>
        <v>0</v>
      </c>
    </row>
    <row r="79" spans="1:63">
      <c r="A79" t="s">
        <v>244</v>
      </c>
      <c r="B79" s="20">
        <f>Inputs!F17</f>
        <v>0.03</v>
      </c>
      <c r="C79" s="17">
        <f>-$B$79*C78</f>
        <v>0</v>
      </c>
      <c r="D79" s="17">
        <f t="shared" ref="D79:BK79" si="257">-$B$79*D78</f>
        <v>0</v>
      </c>
      <c r="E79" s="17">
        <f t="shared" si="257"/>
        <v>0</v>
      </c>
      <c r="F79" s="17">
        <f t="shared" si="257"/>
        <v>0</v>
      </c>
      <c r="G79" s="17">
        <f t="shared" si="257"/>
        <v>0</v>
      </c>
      <c r="H79" s="17">
        <f t="shared" si="257"/>
        <v>0</v>
      </c>
      <c r="I79" s="17">
        <f t="shared" si="257"/>
        <v>0</v>
      </c>
      <c r="J79" s="17">
        <f t="shared" si="257"/>
        <v>0</v>
      </c>
      <c r="K79" s="17">
        <f t="shared" si="257"/>
        <v>0</v>
      </c>
      <c r="L79" s="17">
        <f t="shared" si="257"/>
        <v>0</v>
      </c>
      <c r="M79" s="17">
        <f t="shared" si="257"/>
        <v>0</v>
      </c>
      <c r="N79" s="17">
        <f t="shared" si="257"/>
        <v>0</v>
      </c>
      <c r="O79" s="17">
        <f t="shared" si="257"/>
        <v>0</v>
      </c>
      <c r="P79" s="17">
        <f t="shared" si="257"/>
        <v>0</v>
      </c>
      <c r="Q79" s="17">
        <f t="shared" si="257"/>
        <v>0</v>
      </c>
      <c r="R79" s="17">
        <f t="shared" si="257"/>
        <v>0</v>
      </c>
      <c r="S79" s="17">
        <f t="shared" si="257"/>
        <v>0</v>
      </c>
      <c r="T79" s="17">
        <f t="shared" si="257"/>
        <v>0</v>
      </c>
      <c r="U79" s="17">
        <f t="shared" si="257"/>
        <v>0</v>
      </c>
      <c r="V79" s="17">
        <f t="shared" si="257"/>
        <v>0</v>
      </c>
      <c r="W79" s="17">
        <f t="shared" si="257"/>
        <v>0</v>
      </c>
      <c r="X79" s="17">
        <f t="shared" si="257"/>
        <v>0</v>
      </c>
      <c r="Y79" s="17">
        <f t="shared" si="257"/>
        <v>0</v>
      </c>
      <c r="Z79" s="17">
        <f t="shared" si="257"/>
        <v>0</v>
      </c>
      <c r="AA79" s="17">
        <f t="shared" si="257"/>
        <v>0</v>
      </c>
      <c r="AB79" s="17">
        <f t="shared" si="257"/>
        <v>0</v>
      </c>
      <c r="AC79" s="17">
        <f t="shared" si="257"/>
        <v>0</v>
      </c>
      <c r="AD79" s="17">
        <f t="shared" si="257"/>
        <v>-1626449.1669925705</v>
      </c>
      <c r="AE79" s="17">
        <f t="shared" si="257"/>
        <v>0</v>
      </c>
      <c r="AF79" s="17">
        <f t="shared" si="257"/>
        <v>0</v>
      </c>
      <c r="AG79" s="17">
        <f t="shared" si="257"/>
        <v>0</v>
      </c>
      <c r="AH79" s="17">
        <f t="shared" si="257"/>
        <v>0</v>
      </c>
      <c r="AI79" s="17">
        <f t="shared" si="257"/>
        <v>0</v>
      </c>
      <c r="AJ79" s="17">
        <f t="shared" si="257"/>
        <v>0</v>
      </c>
      <c r="AK79" s="17">
        <f t="shared" si="257"/>
        <v>0</v>
      </c>
      <c r="AL79" s="17">
        <f t="shared" si="257"/>
        <v>0</v>
      </c>
      <c r="AM79" s="17">
        <f t="shared" si="257"/>
        <v>0</v>
      </c>
      <c r="AN79" s="17">
        <f t="shared" si="257"/>
        <v>0</v>
      </c>
      <c r="AO79" s="17">
        <f t="shared" si="257"/>
        <v>0</v>
      </c>
      <c r="AP79" s="17">
        <f t="shared" si="257"/>
        <v>0</v>
      </c>
      <c r="AQ79" s="17">
        <f t="shared" si="257"/>
        <v>0</v>
      </c>
      <c r="AR79" s="17">
        <f t="shared" si="257"/>
        <v>0</v>
      </c>
      <c r="AS79" s="17">
        <f t="shared" si="257"/>
        <v>0</v>
      </c>
      <c r="AT79" s="17">
        <f t="shared" si="257"/>
        <v>0</v>
      </c>
      <c r="AU79" s="17">
        <f t="shared" si="257"/>
        <v>0</v>
      </c>
      <c r="AV79" s="17">
        <f t="shared" si="257"/>
        <v>0</v>
      </c>
      <c r="AW79" s="17">
        <f t="shared" si="257"/>
        <v>0</v>
      </c>
      <c r="AX79" s="17">
        <f t="shared" si="257"/>
        <v>0</v>
      </c>
      <c r="AY79" s="17">
        <f t="shared" si="257"/>
        <v>0</v>
      </c>
      <c r="AZ79" s="17">
        <f t="shared" si="257"/>
        <v>0</v>
      </c>
      <c r="BA79" s="17">
        <f t="shared" si="257"/>
        <v>0</v>
      </c>
      <c r="BB79" s="17">
        <f t="shared" si="257"/>
        <v>0</v>
      </c>
      <c r="BC79" s="17">
        <f t="shared" si="257"/>
        <v>0</v>
      </c>
      <c r="BD79" s="17">
        <f t="shared" si="257"/>
        <v>0</v>
      </c>
      <c r="BE79" s="17">
        <f t="shared" si="257"/>
        <v>0</v>
      </c>
      <c r="BF79" s="17">
        <f t="shared" si="257"/>
        <v>0</v>
      </c>
      <c r="BG79" s="17">
        <f t="shared" si="257"/>
        <v>0</v>
      </c>
      <c r="BH79" s="17">
        <f t="shared" si="257"/>
        <v>0</v>
      </c>
      <c r="BI79" s="17">
        <f t="shared" si="257"/>
        <v>0</v>
      </c>
      <c r="BJ79" s="17">
        <f t="shared" si="257"/>
        <v>0</v>
      </c>
      <c r="BK79" s="17">
        <f t="shared" si="257"/>
        <v>0</v>
      </c>
    </row>
    <row r="80" spans="1:63" ht="16" thickBot="1">
      <c r="A80" s="32" t="s">
        <v>245</v>
      </c>
      <c r="B80" s="32"/>
      <c r="C80" s="34">
        <f>SUM(C78:C79)</f>
        <v>0</v>
      </c>
      <c r="D80" s="34">
        <f t="shared" ref="D80:BK80" si="258">SUM(D78:D79)</f>
        <v>0</v>
      </c>
      <c r="E80" s="34">
        <f t="shared" si="258"/>
        <v>0</v>
      </c>
      <c r="F80" s="34">
        <f t="shared" si="258"/>
        <v>0</v>
      </c>
      <c r="G80" s="34">
        <f t="shared" si="258"/>
        <v>0</v>
      </c>
      <c r="H80" s="34">
        <f t="shared" si="258"/>
        <v>0</v>
      </c>
      <c r="I80" s="34">
        <f t="shared" si="258"/>
        <v>0</v>
      </c>
      <c r="J80" s="34">
        <f t="shared" si="258"/>
        <v>0</v>
      </c>
      <c r="K80" s="34">
        <f t="shared" si="258"/>
        <v>0</v>
      </c>
      <c r="L80" s="34">
        <f t="shared" si="258"/>
        <v>0</v>
      </c>
      <c r="M80" s="34">
        <f t="shared" si="258"/>
        <v>0</v>
      </c>
      <c r="N80" s="34">
        <f t="shared" si="258"/>
        <v>0</v>
      </c>
      <c r="O80" s="34">
        <f t="shared" si="258"/>
        <v>0</v>
      </c>
      <c r="P80" s="34">
        <f t="shared" si="258"/>
        <v>0</v>
      </c>
      <c r="Q80" s="34">
        <f t="shared" si="258"/>
        <v>0</v>
      </c>
      <c r="R80" s="34">
        <f t="shared" si="258"/>
        <v>0</v>
      </c>
      <c r="S80" s="34">
        <f t="shared" si="258"/>
        <v>0</v>
      </c>
      <c r="T80" s="34">
        <f t="shared" si="258"/>
        <v>0</v>
      </c>
      <c r="U80" s="34">
        <f t="shared" si="258"/>
        <v>0</v>
      </c>
      <c r="V80" s="34">
        <f t="shared" si="258"/>
        <v>0</v>
      </c>
      <c r="W80" s="34">
        <f t="shared" si="258"/>
        <v>0</v>
      </c>
      <c r="X80" s="34">
        <f t="shared" si="258"/>
        <v>0</v>
      </c>
      <c r="Y80" s="34">
        <f t="shared" si="258"/>
        <v>0</v>
      </c>
      <c r="Z80" s="34">
        <f t="shared" si="258"/>
        <v>0</v>
      </c>
      <c r="AA80" s="34">
        <f t="shared" si="258"/>
        <v>0</v>
      </c>
      <c r="AB80" s="34">
        <f t="shared" si="258"/>
        <v>0</v>
      </c>
      <c r="AC80" s="34">
        <f t="shared" si="258"/>
        <v>0</v>
      </c>
      <c r="AD80" s="34">
        <f t="shared" si="258"/>
        <v>52588523.066093117</v>
      </c>
      <c r="AE80" s="34">
        <f t="shared" si="258"/>
        <v>0</v>
      </c>
      <c r="AF80" s="34">
        <f t="shared" si="258"/>
        <v>0</v>
      </c>
      <c r="AG80" s="34">
        <f t="shared" si="258"/>
        <v>0</v>
      </c>
      <c r="AH80" s="34">
        <f t="shared" si="258"/>
        <v>0</v>
      </c>
      <c r="AI80" s="34">
        <f t="shared" si="258"/>
        <v>0</v>
      </c>
      <c r="AJ80" s="34">
        <f t="shared" si="258"/>
        <v>0</v>
      </c>
      <c r="AK80" s="34">
        <f t="shared" si="258"/>
        <v>0</v>
      </c>
      <c r="AL80" s="34">
        <f t="shared" si="258"/>
        <v>0</v>
      </c>
      <c r="AM80" s="34">
        <f t="shared" si="258"/>
        <v>0</v>
      </c>
      <c r="AN80" s="34">
        <f t="shared" si="258"/>
        <v>0</v>
      </c>
      <c r="AO80" s="34">
        <f t="shared" si="258"/>
        <v>0</v>
      </c>
      <c r="AP80" s="34">
        <f t="shared" si="258"/>
        <v>0</v>
      </c>
      <c r="AQ80" s="34">
        <f t="shared" si="258"/>
        <v>0</v>
      </c>
      <c r="AR80" s="34">
        <f t="shared" si="258"/>
        <v>0</v>
      </c>
      <c r="AS80" s="34">
        <f t="shared" si="258"/>
        <v>0</v>
      </c>
      <c r="AT80" s="34">
        <f t="shared" si="258"/>
        <v>0</v>
      </c>
      <c r="AU80" s="34">
        <f t="shared" si="258"/>
        <v>0</v>
      </c>
      <c r="AV80" s="34">
        <f t="shared" si="258"/>
        <v>0</v>
      </c>
      <c r="AW80" s="34">
        <f t="shared" si="258"/>
        <v>0</v>
      </c>
      <c r="AX80" s="34">
        <f t="shared" si="258"/>
        <v>0</v>
      </c>
      <c r="AY80" s="34">
        <f t="shared" si="258"/>
        <v>0</v>
      </c>
      <c r="AZ80" s="34">
        <f t="shared" si="258"/>
        <v>0</v>
      </c>
      <c r="BA80" s="34">
        <f t="shared" si="258"/>
        <v>0</v>
      </c>
      <c r="BB80" s="34">
        <f t="shared" si="258"/>
        <v>0</v>
      </c>
      <c r="BC80" s="34">
        <f t="shared" si="258"/>
        <v>0</v>
      </c>
      <c r="BD80" s="34">
        <f t="shared" si="258"/>
        <v>0</v>
      </c>
      <c r="BE80" s="34">
        <f t="shared" si="258"/>
        <v>0</v>
      </c>
      <c r="BF80" s="34">
        <f t="shared" si="258"/>
        <v>0</v>
      </c>
      <c r="BG80" s="34">
        <f t="shared" si="258"/>
        <v>0</v>
      </c>
      <c r="BH80" s="34">
        <f t="shared" si="258"/>
        <v>0</v>
      </c>
      <c r="BI80" s="34">
        <f t="shared" si="258"/>
        <v>0</v>
      </c>
      <c r="BJ80" s="34">
        <f t="shared" si="258"/>
        <v>0</v>
      </c>
      <c r="BK80" s="34">
        <f t="shared" si="258"/>
        <v>0</v>
      </c>
    </row>
    <row r="81" spans="1:63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</row>
    <row r="82" spans="1:63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</row>
    <row r="83" spans="1:63">
      <c r="A83" s="330" t="s">
        <v>246</v>
      </c>
      <c r="B83" s="330"/>
      <c r="C83" s="330"/>
      <c r="D83" s="330"/>
      <c r="E83" s="330"/>
      <c r="F83" s="330"/>
      <c r="G83" s="330"/>
      <c r="H83" s="330"/>
      <c r="I83" s="330"/>
      <c r="J83" s="330"/>
      <c r="K83" s="330"/>
      <c r="L83" s="330"/>
      <c r="M83" s="330"/>
      <c r="N83" s="330"/>
      <c r="O83" s="330"/>
      <c r="P83" s="330"/>
      <c r="Q83" s="330"/>
      <c r="R83" s="330"/>
      <c r="S83" s="330"/>
      <c r="T83" s="330"/>
      <c r="U83" s="330"/>
      <c r="V83" s="330"/>
      <c r="W83" s="330"/>
      <c r="X83" s="330"/>
      <c r="Y83" s="330"/>
      <c r="Z83" s="330"/>
      <c r="AA83" s="330"/>
      <c r="AB83" s="330"/>
      <c r="AC83" s="330"/>
      <c r="AD83" s="330"/>
      <c r="AE83" s="330"/>
      <c r="AF83" s="330"/>
      <c r="AG83" s="330"/>
      <c r="AH83" s="330"/>
      <c r="AI83" s="330"/>
      <c r="AJ83" s="330"/>
      <c r="AK83" s="330"/>
      <c r="AL83" s="330"/>
      <c r="AM83" s="330"/>
      <c r="AN83" s="330"/>
      <c r="AO83" s="330"/>
      <c r="AP83" s="330"/>
      <c r="AQ83" s="330"/>
      <c r="AR83" s="330"/>
      <c r="AS83" s="330"/>
      <c r="AT83" s="330"/>
      <c r="AU83" s="330"/>
      <c r="AV83" s="330"/>
      <c r="AW83" s="330"/>
      <c r="AX83" s="330"/>
      <c r="AY83" s="330"/>
      <c r="AZ83" s="330"/>
      <c r="BA83" s="330"/>
      <c r="BB83" s="330"/>
      <c r="BC83" s="330"/>
      <c r="BD83" s="330"/>
      <c r="BE83" s="330"/>
      <c r="BF83" s="330"/>
      <c r="BG83" s="330"/>
      <c r="BH83" s="330"/>
      <c r="BI83" s="330"/>
      <c r="BJ83" s="330"/>
      <c r="BK83" s="330"/>
    </row>
    <row r="84" spans="1:63">
      <c r="A84" t="s">
        <v>247</v>
      </c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</row>
    <row r="85" spans="1:63">
      <c r="A85" s="11" t="s">
        <v>248</v>
      </c>
      <c r="C85" s="17">
        <f t="shared" ref="C85:AH85" ca="1" si="259">-C29</f>
        <v>283203.77132323792</v>
      </c>
      <c r="D85" s="17">
        <f t="shared" si="259"/>
        <v>0</v>
      </c>
      <c r="E85" s="17">
        <f t="shared" si="259"/>
        <v>0</v>
      </c>
      <c r="F85" s="17">
        <f t="shared" si="259"/>
        <v>0</v>
      </c>
      <c r="G85" s="17">
        <f t="shared" si="259"/>
        <v>0</v>
      </c>
      <c r="H85" s="17">
        <f t="shared" si="259"/>
        <v>0</v>
      </c>
      <c r="I85" s="17">
        <f t="shared" si="259"/>
        <v>0</v>
      </c>
      <c r="J85" s="17">
        <f t="shared" si="259"/>
        <v>0</v>
      </c>
      <c r="K85" s="17">
        <f t="shared" si="259"/>
        <v>0</v>
      </c>
      <c r="L85" s="17">
        <f t="shared" si="259"/>
        <v>0</v>
      </c>
      <c r="M85" s="17">
        <f t="shared" si="259"/>
        <v>0</v>
      </c>
      <c r="N85" s="17">
        <f t="shared" si="259"/>
        <v>0</v>
      </c>
      <c r="O85" s="17">
        <f t="shared" si="259"/>
        <v>0</v>
      </c>
      <c r="P85" s="17">
        <f t="shared" si="259"/>
        <v>0</v>
      </c>
      <c r="Q85" s="17">
        <f t="shared" si="259"/>
        <v>0</v>
      </c>
      <c r="R85" s="17">
        <f t="shared" si="259"/>
        <v>0</v>
      </c>
      <c r="S85" s="17">
        <f t="shared" si="259"/>
        <v>0</v>
      </c>
      <c r="T85" s="17">
        <f t="shared" si="259"/>
        <v>0</v>
      </c>
      <c r="U85" s="17">
        <f t="shared" si="259"/>
        <v>0</v>
      </c>
      <c r="V85" s="17">
        <f t="shared" si="259"/>
        <v>0</v>
      </c>
      <c r="W85" s="17">
        <f t="shared" si="259"/>
        <v>0</v>
      </c>
      <c r="X85" s="17">
        <f t="shared" si="259"/>
        <v>0</v>
      </c>
      <c r="Y85" s="17">
        <f t="shared" si="259"/>
        <v>0</v>
      </c>
      <c r="Z85" s="17">
        <f t="shared" si="259"/>
        <v>0</v>
      </c>
      <c r="AA85" s="17">
        <f t="shared" si="259"/>
        <v>0</v>
      </c>
      <c r="AB85" s="17">
        <f t="shared" si="259"/>
        <v>0</v>
      </c>
      <c r="AC85" s="17">
        <f t="shared" si="259"/>
        <v>0</v>
      </c>
      <c r="AD85" s="17">
        <f t="shared" si="259"/>
        <v>0</v>
      </c>
      <c r="AE85" s="17">
        <f t="shared" si="259"/>
        <v>0</v>
      </c>
      <c r="AF85" s="17">
        <f t="shared" si="259"/>
        <v>0</v>
      </c>
      <c r="AG85" s="17">
        <f t="shared" si="259"/>
        <v>0</v>
      </c>
      <c r="AH85" s="17">
        <f t="shared" si="259"/>
        <v>0</v>
      </c>
      <c r="AI85" s="17">
        <f t="shared" ref="AI85:BK85" si="260">-AI29</f>
        <v>0</v>
      </c>
      <c r="AJ85" s="17">
        <f t="shared" si="260"/>
        <v>0</v>
      </c>
      <c r="AK85" s="17">
        <f t="shared" si="260"/>
        <v>0</v>
      </c>
      <c r="AL85" s="17">
        <f t="shared" si="260"/>
        <v>0</v>
      </c>
      <c r="AM85" s="17">
        <f t="shared" si="260"/>
        <v>0</v>
      </c>
      <c r="AN85" s="17">
        <f t="shared" si="260"/>
        <v>0</v>
      </c>
      <c r="AO85" s="17">
        <f t="shared" si="260"/>
        <v>0</v>
      </c>
      <c r="AP85" s="17">
        <f t="shared" si="260"/>
        <v>0</v>
      </c>
      <c r="AQ85" s="17">
        <f t="shared" si="260"/>
        <v>0</v>
      </c>
      <c r="AR85" s="17">
        <f t="shared" si="260"/>
        <v>0</v>
      </c>
      <c r="AS85" s="17">
        <f t="shared" si="260"/>
        <v>0</v>
      </c>
      <c r="AT85" s="17">
        <f t="shared" si="260"/>
        <v>0</v>
      </c>
      <c r="AU85" s="17">
        <f t="shared" si="260"/>
        <v>0</v>
      </c>
      <c r="AV85" s="17">
        <f t="shared" si="260"/>
        <v>0</v>
      </c>
      <c r="AW85" s="17">
        <f t="shared" si="260"/>
        <v>0</v>
      </c>
      <c r="AX85" s="17">
        <f t="shared" si="260"/>
        <v>0</v>
      </c>
      <c r="AY85" s="17">
        <f t="shared" si="260"/>
        <v>0</v>
      </c>
      <c r="AZ85" s="17">
        <f t="shared" si="260"/>
        <v>0</v>
      </c>
      <c r="BA85" s="17">
        <f t="shared" si="260"/>
        <v>0</v>
      </c>
      <c r="BB85" s="17">
        <f t="shared" si="260"/>
        <v>0</v>
      </c>
      <c r="BC85" s="17">
        <f t="shared" si="260"/>
        <v>0</v>
      </c>
      <c r="BD85" s="17">
        <f t="shared" si="260"/>
        <v>0</v>
      </c>
      <c r="BE85" s="17">
        <f t="shared" si="260"/>
        <v>0</v>
      </c>
      <c r="BF85" s="17">
        <f t="shared" si="260"/>
        <v>0</v>
      </c>
      <c r="BG85" s="17">
        <f t="shared" si="260"/>
        <v>0</v>
      </c>
      <c r="BH85" s="17">
        <f t="shared" si="260"/>
        <v>0</v>
      </c>
      <c r="BI85" s="17">
        <f t="shared" si="260"/>
        <v>0</v>
      </c>
      <c r="BJ85" s="17">
        <f t="shared" si="260"/>
        <v>0</v>
      </c>
      <c r="BK85" s="17">
        <f t="shared" si="260"/>
        <v>0</v>
      </c>
    </row>
    <row r="86" spans="1:63">
      <c r="A86" s="11" t="s">
        <v>249</v>
      </c>
      <c r="B86" s="16">
        <f ca="1">Inputs!L49</f>
        <v>1082598.2935339301</v>
      </c>
      <c r="C86" s="17">
        <f t="shared" ref="C86:AH86" ca="1" si="261">-C30</f>
        <v>0</v>
      </c>
      <c r="D86" s="17">
        <f t="shared" ca="1" si="261"/>
        <v>0</v>
      </c>
      <c r="E86" s="17">
        <f t="shared" ca="1" si="261"/>
        <v>0</v>
      </c>
      <c r="F86" s="17">
        <f t="shared" ca="1" si="261"/>
        <v>0</v>
      </c>
      <c r="G86" s="17">
        <f t="shared" ca="1" si="261"/>
        <v>0</v>
      </c>
      <c r="H86" s="17">
        <f t="shared" ca="1" si="261"/>
        <v>0</v>
      </c>
      <c r="I86" s="17">
        <f t="shared" ca="1" si="261"/>
        <v>0</v>
      </c>
      <c r="J86" s="17">
        <f t="shared" ca="1" si="261"/>
        <v>28711.089220169626</v>
      </c>
      <c r="K86" s="17">
        <f t="shared" ca="1" si="261"/>
        <v>58748.579766422125</v>
      </c>
      <c r="L86" s="17">
        <f t="shared" ca="1" si="261"/>
        <v>88987.664208855524</v>
      </c>
      <c r="M86" s="17">
        <f t="shared" ca="1" si="261"/>
        <v>119429.69552663888</v>
      </c>
      <c r="N86" s="17">
        <f t="shared" ca="1" si="261"/>
        <v>131955.23041021093</v>
      </c>
      <c r="O86" s="17">
        <f t="shared" ca="1" si="261"/>
        <v>144564.82928618771</v>
      </c>
      <c r="P86" s="17">
        <f t="shared" ca="1" si="261"/>
        <v>157259.05634243789</v>
      </c>
      <c r="Q86" s="17">
        <f t="shared" ca="1" si="261"/>
        <v>170038.47955332577</v>
      </c>
      <c r="R86" s="17">
        <f t="shared" ca="1" si="261"/>
        <v>182903.67070512424</v>
      </c>
      <c r="S86" s="17">
        <f t="shared" si="261"/>
        <v>0</v>
      </c>
      <c r="T86" s="17">
        <f t="shared" si="261"/>
        <v>0</v>
      </c>
      <c r="U86" s="17">
        <f t="shared" si="261"/>
        <v>0</v>
      </c>
      <c r="V86" s="17">
        <f t="shared" si="261"/>
        <v>0</v>
      </c>
      <c r="W86" s="17">
        <f t="shared" si="261"/>
        <v>0</v>
      </c>
      <c r="X86" s="17">
        <f t="shared" si="261"/>
        <v>0</v>
      </c>
      <c r="Y86" s="17">
        <f t="shared" si="261"/>
        <v>0</v>
      </c>
      <c r="Z86" s="17">
        <f t="shared" si="261"/>
        <v>0</v>
      </c>
      <c r="AA86" s="17">
        <f t="shared" si="261"/>
        <v>0</v>
      </c>
      <c r="AB86" s="17">
        <f t="shared" si="261"/>
        <v>0</v>
      </c>
      <c r="AC86" s="17">
        <f t="shared" si="261"/>
        <v>0</v>
      </c>
      <c r="AD86" s="17">
        <f t="shared" si="261"/>
        <v>0</v>
      </c>
      <c r="AE86" s="17">
        <f t="shared" si="261"/>
        <v>0</v>
      </c>
      <c r="AF86" s="17">
        <f t="shared" si="261"/>
        <v>0</v>
      </c>
      <c r="AG86" s="17">
        <f t="shared" si="261"/>
        <v>0</v>
      </c>
      <c r="AH86" s="17">
        <f t="shared" si="261"/>
        <v>0</v>
      </c>
      <c r="AI86" s="17">
        <f t="shared" ref="AI86:BK86" si="262">-AI30</f>
        <v>0</v>
      </c>
      <c r="AJ86" s="17">
        <f t="shared" si="262"/>
        <v>0</v>
      </c>
      <c r="AK86" s="17">
        <f t="shared" si="262"/>
        <v>0</v>
      </c>
      <c r="AL86" s="17">
        <f t="shared" si="262"/>
        <v>0</v>
      </c>
      <c r="AM86" s="17">
        <f t="shared" si="262"/>
        <v>0</v>
      </c>
      <c r="AN86" s="17">
        <f t="shared" si="262"/>
        <v>0</v>
      </c>
      <c r="AO86" s="17">
        <f t="shared" si="262"/>
        <v>0</v>
      </c>
      <c r="AP86" s="17">
        <f t="shared" si="262"/>
        <v>0</v>
      </c>
      <c r="AQ86" s="17">
        <f t="shared" si="262"/>
        <v>0</v>
      </c>
      <c r="AR86" s="17">
        <f t="shared" si="262"/>
        <v>0</v>
      </c>
      <c r="AS86" s="17">
        <f t="shared" si="262"/>
        <v>0</v>
      </c>
      <c r="AT86" s="17">
        <f t="shared" si="262"/>
        <v>0</v>
      </c>
      <c r="AU86" s="17">
        <f t="shared" si="262"/>
        <v>0</v>
      </c>
      <c r="AV86" s="17">
        <f t="shared" si="262"/>
        <v>0</v>
      </c>
      <c r="AW86" s="17">
        <f t="shared" si="262"/>
        <v>0</v>
      </c>
      <c r="AX86" s="17">
        <f t="shared" si="262"/>
        <v>0</v>
      </c>
      <c r="AY86" s="17">
        <f t="shared" si="262"/>
        <v>0</v>
      </c>
      <c r="AZ86" s="17">
        <f t="shared" si="262"/>
        <v>0</v>
      </c>
      <c r="BA86" s="17">
        <f t="shared" si="262"/>
        <v>0</v>
      </c>
      <c r="BB86" s="17">
        <f t="shared" si="262"/>
        <v>0</v>
      </c>
      <c r="BC86" s="17">
        <f t="shared" si="262"/>
        <v>0</v>
      </c>
      <c r="BD86" s="17">
        <f t="shared" si="262"/>
        <v>0</v>
      </c>
      <c r="BE86" s="17">
        <f t="shared" si="262"/>
        <v>0</v>
      </c>
      <c r="BF86" s="17">
        <f t="shared" si="262"/>
        <v>0</v>
      </c>
      <c r="BG86" s="17">
        <f t="shared" si="262"/>
        <v>0</v>
      </c>
      <c r="BH86" s="17">
        <f t="shared" si="262"/>
        <v>0</v>
      </c>
      <c r="BI86" s="17">
        <f t="shared" si="262"/>
        <v>0</v>
      </c>
      <c r="BJ86" s="17">
        <f t="shared" si="262"/>
        <v>0</v>
      </c>
      <c r="BK86" s="17">
        <f t="shared" si="262"/>
        <v>0</v>
      </c>
    </row>
    <row r="87" spans="1:63">
      <c r="A87" s="11" t="s">
        <v>250</v>
      </c>
      <c r="B87" s="16">
        <f ca="1">Inputs!L51</f>
        <v>884826.43648120877</v>
      </c>
      <c r="C87" s="17">
        <f t="shared" ref="C87:AH87" si="263">-C31</f>
        <v>0</v>
      </c>
      <c r="D87" s="17">
        <f t="shared" si="263"/>
        <v>0</v>
      </c>
      <c r="E87" s="17">
        <f t="shared" si="263"/>
        <v>0</v>
      </c>
      <c r="F87" s="17">
        <f t="shared" si="263"/>
        <v>0</v>
      </c>
      <c r="G87" s="17">
        <f t="shared" si="263"/>
        <v>0</v>
      </c>
      <c r="H87" s="17">
        <f t="shared" si="263"/>
        <v>0</v>
      </c>
      <c r="I87" s="17">
        <f t="shared" si="263"/>
        <v>0</v>
      </c>
      <c r="J87" s="17">
        <f t="shared" si="263"/>
        <v>0</v>
      </c>
      <c r="K87" s="17">
        <f t="shared" si="263"/>
        <v>0</v>
      </c>
      <c r="L87" s="17">
        <f t="shared" si="263"/>
        <v>0</v>
      </c>
      <c r="M87" s="17">
        <f t="shared" si="263"/>
        <v>0</v>
      </c>
      <c r="N87" s="17">
        <f t="shared" si="263"/>
        <v>0</v>
      </c>
      <c r="O87" s="17">
        <f t="shared" si="263"/>
        <v>0</v>
      </c>
      <c r="P87" s="17">
        <f t="shared" si="263"/>
        <v>0</v>
      </c>
      <c r="Q87" s="17">
        <f t="shared" si="263"/>
        <v>0</v>
      </c>
      <c r="R87" s="17">
        <f t="shared" si="263"/>
        <v>0</v>
      </c>
      <c r="S87" s="17">
        <f t="shared" ca="1" si="263"/>
        <v>166166.23610232654</v>
      </c>
      <c r="T87" s="17">
        <f t="shared" ca="1" si="263"/>
        <v>149316.46972356926</v>
      </c>
      <c r="U87" s="17">
        <f t="shared" ca="1" si="263"/>
        <v>132353.61766431585</v>
      </c>
      <c r="V87" s="17">
        <f t="shared" ca="1" si="263"/>
        <v>115276.92096026782</v>
      </c>
      <c r="W87" s="17">
        <f t="shared" ca="1" si="263"/>
        <v>98085.615553406533</v>
      </c>
      <c r="X87" s="17">
        <f t="shared" ca="1" si="263"/>
        <v>80778.932257807217</v>
      </c>
      <c r="Y87" s="17">
        <f t="shared" ca="1" si="263"/>
        <v>63356.096725223426</v>
      </c>
      <c r="Z87" s="17">
        <f t="shared" ca="1" si="263"/>
        <v>45816.329410440667</v>
      </c>
      <c r="AA87" s="17">
        <f t="shared" ca="1" si="263"/>
        <v>28158.845536397304</v>
      </c>
      <c r="AB87" s="17">
        <f t="shared" ca="1" si="263"/>
        <v>5517.3709478702804</v>
      </c>
      <c r="AC87" s="17">
        <f t="shared" ca="1" si="263"/>
        <v>0</v>
      </c>
      <c r="AD87" s="17">
        <f t="shared" si="263"/>
        <v>0</v>
      </c>
      <c r="AE87" s="17">
        <f t="shared" si="263"/>
        <v>0</v>
      </c>
      <c r="AF87" s="17">
        <f t="shared" si="263"/>
        <v>0</v>
      </c>
      <c r="AG87" s="17">
        <f t="shared" si="263"/>
        <v>0</v>
      </c>
      <c r="AH87" s="17">
        <f t="shared" si="263"/>
        <v>0</v>
      </c>
      <c r="AI87" s="17">
        <f t="shared" ref="AI87:BK87" si="264">-AI31</f>
        <v>0</v>
      </c>
      <c r="AJ87" s="17">
        <f t="shared" si="264"/>
        <v>0</v>
      </c>
      <c r="AK87" s="17">
        <f t="shared" si="264"/>
        <v>0</v>
      </c>
      <c r="AL87" s="17">
        <f t="shared" si="264"/>
        <v>0</v>
      </c>
      <c r="AM87" s="17">
        <f t="shared" si="264"/>
        <v>0</v>
      </c>
      <c r="AN87" s="17">
        <f t="shared" si="264"/>
        <v>0</v>
      </c>
      <c r="AO87" s="17">
        <f t="shared" si="264"/>
        <v>0</v>
      </c>
      <c r="AP87" s="17">
        <f t="shared" si="264"/>
        <v>0</v>
      </c>
      <c r="AQ87" s="17">
        <f t="shared" si="264"/>
        <v>0</v>
      </c>
      <c r="AR87" s="17">
        <f t="shared" si="264"/>
        <v>0</v>
      </c>
      <c r="AS87" s="17">
        <f t="shared" si="264"/>
        <v>0</v>
      </c>
      <c r="AT87" s="17">
        <f t="shared" si="264"/>
        <v>0</v>
      </c>
      <c r="AU87" s="17">
        <f t="shared" si="264"/>
        <v>0</v>
      </c>
      <c r="AV87" s="17">
        <f t="shared" si="264"/>
        <v>0</v>
      </c>
      <c r="AW87" s="17">
        <f t="shared" si="264"/>
        <v>0</v>
      </c>
      <c r="AX87" s="17">
        <f t="shared" si="264"/>
        <v>0</v>
      </c>
      <c r="AY87" s="17">
        <f t="shared" si="264"/>
        <v>0</v>
      </c>
      <c r="AZ87" s="17">
        <f t="shared" si="264"/>
        <v>0</v>
      </c>
      <c r="BA87" s="17">
        <f t="shared" si="264"/>
        <v>0</v>
      </c>
      <c r="BB87" s="17">
        <f t="shared" si="264"/>
        <v>0</v>
      </c>
      <c r="BC87" s="17">
        <f t="shared" si="264"/>
        <v>0</v>
      </c>
      <c r="BD87" s="17">
        <f t="shared" si="264"/>
        <v>0</v>
      </c>
      <c r="BE87" s="17">
        <f t="shared" si="264"/>
        <v>0</v>
      </c>
      <c r="BF87" s="17">
        <f t="shared" si="264"/>
        <v>0</v>
      </c>
      <c r="BG87" s="17">
        <f t="shared" si="264"/>
        <v>0</v>
      </c>
      <c r="BH87" s="17">
        <f t="shared" si="264"/>
        <v>0</v>
      </c>
      <c r="BI87" s="17">
        <f t="shared" si="264"/>
        <v>0</v>
      </c>
      <c r="BJ87" s="17">
        <f t="shared" si="264"/>
        <v>0</v>
      </c>
      <c r="BK87" s="17">
        <f t="shared" si="264"/>
        <v>0</v>
      </c>
    </row>
    <row r="88" spans="1:63">
      <c r="A88" t="s">
        <v>251</v>
      </c>
      <c r="C88" s="17">
        <f t="shared" ref="C88:AH88" ca="1" si="265">C80+C71+C34</f>
        <v>-5530078.7713232376</v>
      </c>
      <c r="D88" s="17">
        <f t="shared" ca="1" si="265"/>
        <v>-246875</v>
      </c>
      <c r="E88" s="17">
        <f t="shared" ca="1" si="265"/>
        <v>-246875</v>
      </c>
      <c r="F88" s="17">
        <f t="shared" ca="1" si="265"/>
        <v>-246875</v>
      </c>
      <c r="G88" s="17">
        <f t="shared" ca="1" si="265"/>
        <v>-1746875</v>
      </c>
      <c r="H88" s="17">
        <f t="shared" ca="1" si="265"/>
        <v>-6246875</v>
      </c>
      <c r="I88" s="17">
        <f t="shared" ca="1" si="265"/>
        <v>-4446875</v>
      </c>
      <c r="J88" s="17">
        <f t="shared" ca="1" si="265"/>
        <v>-4475586.0892201699</v>
      </c>
      <c r="K88" s="17">
        <f t="shared" ca="1" si="265"/>
        <v>-4505623.5797664225</v>
      </c>
      <c r="L88" s="17">
        <f t="shared" ca="1" si="265"/>
        <v>-4535862.6642088555</v>
      </c>
      <c r="M88" s="17">
        <f t="shared" ca="1" si="265"/>
        <v>-4566304.695526639</v>
      </c>
      <c r="N88" s="17">
        <f t="shared" ca="1" si="265"/>
        <v>-1878830.230410211</v>
      </c>
      <c r="O88" s="17">
        <f t="shared" ca="1" si="265"/>
        <v>-1891439.8292861877</v>
      </c>
      <c r="P88" s="17">
        <f t="shared" ca="1" si="265"/>
        <v>-1904134.0563424379</v>
      </c>
      <c r="Q88" s="17">
        <f t="shared" ca="1" si="265"/>
        <v>-1916913.4795533258</v>
      </c>
      <c r="R88" s="17">
        <f t="shared" ca="1" si="265"/>
        <v>-1929778.6707051243</v>
      </c>
      <c r="S88" s="17">
        <f t="shared" ca="1" si="265"/>
        <v>-148321.02657851702</v>
      </c>
      <c r="T88" s="17">
        <f t="shared" ca="1" si="265"/>
        <v>-113626.05067595022</v>
      </c>
      <c r="U88" s="17">
        <f t="shared" ca="1" si="265"/>
        <v>-78817.989092887292</v>
      </c>
      <c r="V88" s="17">
        <f t="shared" ca="1" si="265"/>
        <v>-43896.082865029748</v>
      </c>
      <c r="W88" s="17">
        <f t="shared" ca="1" si="265"/>
        <v>-8859.5679343589291</v>
      </c>
      <c r="X88" s="17">
        <f t="shared" ca="1" si="265"/>
        <v>26292.324885049893</v>
      </c>
      <c r="Y88" s="17">
        <f t="shared" ca="1" si="265"/>
        <v>61560.369941443205</v>
      </c>
      <c r="Z88" s="17">
        <f t="shared" ca="1" si="265"/>
        <v>96945.34678003547</v>
      </c>
      <c r="AA88" s="17">
        <f t="shared" ca="1" si="265"/>
        <v>132448.04017788835</v>
      </c>
      <c r="AB88" s="17">
        <f t="shared" ca="1" si="265"/>
        <v>177767.76202832014</v>
      </c>
      <c r="AC88" s="17">
        <f t="shared" ca="1" si="265"/>
        <v>201613.64627380949</v>
      </c>
      <c r="AD88" s="17">
        <f t="shared" si="265"/>
        <v>52808465.225664549</v>
      </c>
      <c r="AE88" s="17">
        <f t="shared" si="265"/>
        <v>0</v>
      </c>
      <c r="AF88" s="17">
        <f t="shared" si="265"/>
        <v>0</v>
      </c>
      <c r="AG88" s="17">
        <f t="shared" si="265"/>
        <v>0</v>
      </c>
      <c r="AH88" s="17">
        <f t="shared" si="265"/>
        <v>0</v>
      </c>
      <c r="AI88" s="17">
        <f t="shared" ref="AI88:BK88" si="266">AI80+AI71+AI34</f>
        <v>0</v>
      </c>
      <c r="AJ88" s="17">
        <f t="shared" si="266"/>
        <v>0</v>
      </c>
      <c r="AK88" s="17">
        <f t="shared" si="266"/>
        <v>0</v>
      </c>
      <c r="AL88" s="17">
        <f t="shared" si="266"/>
        <v>0</v>
      </c>
      <c r="AM88" s="17">
        <f t="shared" si="266"/>
        <v>0</v>
      </c>
      <c r="AN88" s="17">
        <f t="shared" si="266"/>
        <v>0</v>
      </c>
      <c r="AO88" s="17">
        <f t="shared" si="266"/>
        <v>0</v>
      </c>
      <c r="AP88" s="17">
        <f t="shared" si="266"/>
        <v>0</v>
      </c>
      <c r="AQ88" s="17">
        <f t="shared" si="266"/>
        <v>0</v>
      </c>
      <c r="AR88" s="17">
        <f t="shared" si="266"/>
        <v>0</v>
      </c>
      <c r="AS88" s="17">
        <f t="shared" si="266"/>
        <v>0</v>
      </c>
      <c r="AT88" s="17">
        <f t="shared" si="266"/>
        <v>0</v>
      </c>
      <c r="AU88" s="17">
        <f t="shared" si="266"/>
        <v>0</v>
      </c>
      <c r="AV88" s="17">
        <f t="shared" si="266"/>
        <v>0</v>
      </c>
      <c r="AW88" s="17">
        <f t="shared" si="266"/>
        <v>0</v>
      </c>
      <c r="AX88" s="17">
        <f t="shared" si="266"/>
        <v>0</v>
      </c>
      <c r="AY88" s="17">
        <f t="shared" si="266"/>
        <v>0</v>
      </c>
      <c r="AZ88" s="17">
        <f t="shared" si="266"/>
        <v>0</v>
      </c>
      <c r="BA88" s="17">
        <f t="shared" si="266"/>
        <v>0</v>
      </c>
      <c r="BB88" s="17">
        <f t="shared" si="266"/>
        <v>0</v>
      </c>
      <c r="BC88" s="17">
        <f t="shared" si="266"/>
        <v>0</v>
      </c>
      <c r="BD88" s="17">
        <f t="shared" si="266"/>
        <v>0</v>
      </c>
      <c r="BE88" s="17">
        <f t="shared" si="266"/>
        <v>0</v>
      </c>
      <c r="BF88" s="17">
        <f t="shared" si="266"/>
        <v>0</v>
      </c>
      <c r="BG88" s="17">
        <f t="shared" si="266"/>
        <v>0</v>
      </c>
      <c r="BH88" s="17">
        <f t="shared" si="266"/>
        <v>0</v>
      </c>
      <c r="BI88" s="17">
        <f t="shared" si="266"/>
        <v>0</v>
      </c>
      <c r="BJ88" s="17">
        <f t="shared" si="266"/>
        <v>0</v>
      </c>
      <c r="BK88" s="17">
        <f t="shared" si="266"/>
        <v>0</v>
      </c>
    </row>
    <row r="89" spans="1:63">
      <c r="A89" s="37" t="s">
        <v>252</v>
      </c>
      <c r="B89" s="37"/>
      <c r="C89" s="38">
        <f ca="1">SUM(C85:C88)</f>
        <v>-5246875</v>
      </c>
      <c r="D89" s="38">
        <f t="shared" ref="D89:BK89" ca="1" si="267">SUM(D85:D88)</f>
        <v>-246875</v>
      </c>
      <c r="E89" s="38">
        <f t="shared" ca="1" si="267"/>
        <v>-246875</v>
      </c>
      <c r="F89" s="38">
        <f t="shared" ca="1" si="267"/>
        <v>-246875</v>
      </c>
      <c r="G89" s="38">
        <f t="shared" ca="1" si="267"/>
        <v>-1746875</v>
      </c>
      <c r="H89" s="38">
        <f t="shared" ca="1" si="267"/>
        <v>-6246875</v>
      </c>
      <c r="I89" s="38">
        <f t="shared" ca="1" si="267"/>
        <v>-4446875</v>
      </c>
      <c r="J89" s="38">
        <f t="shared" ca="1" si="267"/>
        <v>-4446875</v>
      </c>
      <c r="K89" s="38">
        <f t="shared" ca="1" si="267"/>
        <v>-4446875</v>
      </c>
      <c r="L89" s="38">
        <f t="shared" ca="1" si="267"/>
        <v>-4446875</v>
      </c>
      <c r="M89" s="38">
        <f t="shared" ca="1" si="267"/>
        <v>-4446875</v>
      </c>
      <c r="N89" s="38">
        <f t="shared" ca="1" si="267"/>
        <v>-1746875</v>
      </c>
      <c r="O89" s="38">
        <f t="shared" ca="1" si="267"/>
        <v>-1746875</v>
      </c>
      <c r="P89" s="38">
        <f t="shared" ca="1" si="267"/>
        <v>-1746875</v>
      </c>
      <c r="Q89" s="38">
        <f t="shared" ca="1" si="267"/>
        <v>-1746875</v>
      </c>
      <c r="R89" s="38">
        <f t="shared" ca="1" si="267"/>
        <v>-1746875</v>
      </c>
      <c r="S89" s="38">
        <f t="shared" ca="1" si="267"/>
        <v>17845.209523809521</v>
      </c>
      <c r="T89" s="38">
        <f t="shared" ca="1" si="267"/>
        <v>35690.419047619042</v>
      </c>
      <c r="U89" s="38">
        <f t="shared" ca="1" si="267"/>
        <v>53535.628571428562</v>
      </c>
      <c r="V89" s="38">
        <f t="shared" ca="1" si="267"/>
        <v>71380.838095238068</v>
      </c>
      <c r="W89" s="38">
        <f t="shared" ca="1" si="267"/>
        <v>89226.047619047604</v>
      </c>
      <c r="X89" s="38">
        <f t="shared" ca="1" si="267"/>
        <v>107071.25714285711</v>
      </c>
      <c r="Y89" s="38">
        <f t="shared" ca="1" si="267"/>
        <v>124916.46666666663</v>
      </c>
      <c r="Z89" s="38">
        <f t="shared" ca="1" si="267"/>
        <v>142761.67619047614</v>
      </c>
      <c r="AA89" s="38">
        <f t="shared" ca="1" si="267"/>
        <v>160606.88571428566</v>
      </c>
      <c r="AB89" s="38">
        <f t="shared" ca="1" si="267"/>
        <v>183285.13297619042</v>
      </c>
      <c r="AC89" s="38">
        <f t="shared" ca="1" si="267"/>
        <v>201613.64627380949</v>
      </c>
      <c r="AD89" s="38">
        <f t="shared" si="267"/>
        <v>52808465.225664549</v>
      </c>
      <c r="AE89" s="38">
        <f t="shared" si="267"/>
        <v>0</v>
      </c>
      <c r="AF89" s="38">
        <f t="shared" si="267"/>
        <v>0</v>
      </c>
      <c r="AG89" s="38">
        <f t="shared" si="267"/>
        <v>0</v>
      </c>
      <c r="AH89" s="38">
        <f t="shared" si="267"/>
        <v>0</v>
      </c>
      <c r="AI89" s="38">
        <f t="shared" si="267"/>
        <v>0</v>
      </c>
      <c r="AJ89" s="38">
        <f t="shared" si="267"/>
        <v>0</v>
      </c>
      <c r="AK89" s="38">
        <f t="shared" si="267"/>
        <v>0</v>
      </c>
      <c r="AL89" s="38">
        <f t="shared" si="267"/>
        <v>0</v>
      </c>
      <c r="AM89" s="38">
        <f t="shared" si="267"/>
        <v>0</v>
      </c>
      <c r="AN89" s="38">
        <f t="shared" si="267"/>
        <v>0</v>
      </c>
      <c r="AO89" s="38">
        <f t="shared" si="267"/>
        <v>0</v>
      </c>
      <c r="AP89" s="38">
        <f t="shared" si="267"/>
        <v>0</v>
      </c>
      <c r="AQ89" s="38">
        <f t="shared" si="267"/>
        <v>0</v>
      </c>
      <c r="AR89" s="38">
        <f t="shared" si="267"/>
        <v>0</v>
      </c>
      <c r="AS89" s="38">
        <f t="shared" si="267"/>
        <v>0</v>
      </c>
      <c r="AT89" s="38">
        <f t="shared" si="267"/>
        <v>0</v>
      </c>
      <c r="AU89" s="38">
        <f t="shared" si="267"/>
        <v>0</v>
      </c>
      <c r="AV89" s="38">
        <f t="shared" si="267"/>
        <v>0</v>
      </c>
      <c r="AW89" s="38">
        <f t="shared" si="267"/>
        <v>0</v>
      </c>
      <c r="AX89" s="38">
        <f t="shared" si="267"/>
        <v>0</v>
      </c>
      <c r="AY89" s="38">
        <f t="shared" si="267"/>
        <v>0</v>
      </c>
      <c r="AZ89" s="38">
        <f t="shared" si="267"/>
        <v>0</v>
      </c>
      <c r="BA89" s="38">
        <f t="shared" si="267"/>
        <v>0</v>
      </c>
      <c r="BB89" s="38">
        <f t="shared" si="267"/>
        <v>0</v>
      </c>
      <c r="BC89" s="38">
        <f t="shared" si="267"/>
        <v>0</v>
      </c>
      <c r="BD89" s="38">
        <f t="shared" si="267"/>
        <v>0</v>
      </c>
      <c r="BE89" s="38">
        <f t="shared" si="267"/>
        <v>0</v>
      </c>
      <c r="BF89" s="38">
        <f t="shared" si="267"/>
        <v>0</v>
      </c>
      <c r="BG89" s="38">
        <f t="shared" si="267"/>
        <v>0</v>
      </c>
      <c r="BH89" s="38">
        <f t="shared" si="267"/>
        <v>0</v>
      </c>
      <c r="BI89" s="38">
        <f t="shared" si="267"/>
        <v>0</v>
      </c>
      <c r="BJ89" s="38">
        <f t="shared" si="267"/>
        <v>0</v>
      </c>
      <c r="BK89" s="38">
        <f t="shared" si="267"/>
        <v>0</v>
      </c>
    </row>
    <row r="90" spans="1:63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</row>
    <row r="91" spans="1:63">
      <c r="A91" s="10" t="s">
        <v>184</v>
      </c>
      <c r="B91" s="10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</row>
    <row r="92" spans="1:63">
      <c r="A92" s="39" t="s">
        <v>185</v>
      </c>
      <c r="B92" s="40">
        <f ca="1">XIRR(C89:BK89, C7:BK7)</f>
        <v>0.11882854104042051</v>
      </c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</row>
    <row r="93" spans="1:63">
      <c r="A93" s="41" t="s">
        <v>186</v>
      </c>
      <c r="B93" s="42">
        <f ca="1">SUMIF(C89:BK89, "&gt;0")/-SUMIF(C89:BK89, "&lt;0")</f>
        <v>1.2012546926248271</v>
      </c>
    </row>
    <row r="94" spans="1:63">
      <c r="A94" s="43" t="s">
        <v>187</v>
      </c>
      <c r="B94" s="53">
        <f ca="1">SUM(C89:BK89)</f>
        <v>9046398.4334859699</v>
      </c>
    </row>
    <row r="95" spans="1:63">
      <c r="B95" s="44"/>
    </row>
    <row r="96" spans="1:63">
      <c r="A96" t="s">
        <v>253</v>
      </c>
      <c r="B96" s="51"/>
      <c r="C96" s="30">
        <f t="shared" ref="C96:AH96" ca="1" si="268">C41</f>
        <v>-5530078.7713232376</v>
      </c>
      <c r="D96" s="30">
        <f t="shared" ca="1" si="268"/>
        <v>-246875</v>
      </c>
      <c r="E96" s="30">
        <f t="shared" ca="1" si="268"/>
        <v>-246875</v>
      </c>
      <c r="F96" s="30">
        <f t="shared" ca="1" si="268"/>
        <v>-246875</v>
      </c>
      <c r="G96" s="30">
        <f t="shared" ca="1" si="268"/>
        <v>-1746875</v>
      </c>
      <c r="H96" s="30">
        <f t="shared" ca="1" si="268"/>
        <v>-6246875</v>
      </c>
      <c r="I96" s="30">
        <f t="shared" ca="1" si="268"/>
        <v>-4446875</v>
      </c>
      <c r="J96" s="30">
        <f t="shared" ca="1" si="268"/>
        <v>-168922.75696645677</v>
      </c>
      <c r="K96" s="30">
        <f t="shared" ca="1" si="268"/>
        <v>0</v>
      </c>
      <c r="L96" s="30">
        <f t="shared" ca="1" si="268"/>
        <v>0</v>
      </c>
      <c r="M96" s="30">
        <f t="shared" ca="1" si="268"/>
        <v>0</v>
      </c>
      <c r="N96" s="30">
        <f t="shared" ca="1" si="268"/>
        <v>0</v>
      </c>
      <c r="O96" s="30">
        <f t="shared" ca="1" si="268"/>
        <v>0</v>
      </c>
      <c r="P96" s="30">
        <f t="shared" ca="1" si="268"/>
        <v>0</v>
      </c>
      <c r="Q96" s="30">
        <f t="shared" ca="1" si="268"/>
        <v>0</v>
      </c>
      <c r="R96" s="30">
        <f t="shared" ca="1" si="268"/>
        <v>0</v>
      </c>
      <c r="S96" s="30">
        <f t="shared" ca="1" si="268"/>
        <v>0</v>
      </c>
      <c r="T96" s="30">
        <f t="shared" ca="1" si="268"/>
        <v>0</v>
      </c>
      <c r="U96" s="30">
        <f t="shared" ca="1" si="268"/>
        <v>0</v>
      </c>
      <c r="V96" s="30">
        <f t="shared" ca="1" si="268"/>
        <v>0</v>
      </c>
      <c r="W96" s="30">
        <f t="shared" ca="1" si="268"/>
        <v>0</v>
      </c>
      <c r="X96" s="30">
        <f t="shared" ca="1" si="268"/>
        <v>0</v>
      </c>
      <c r="Y96" s="30">
        <f t="shared" ca="1" si="268"/>
        <v>0</v>
      </c>
      <c r="Z96" s="30">
        <f t="shared" ca="1" si="268"/>
        <v>0</v>
      </c>
      <c r="AA96" s="30">
        <f t="shared" ca="1" si="268"/>
        <v>0</v>
      </c>
      <c r="AB96" s="30">
        <f t="shared" ca="1" si="268"/>
        <v>0</v>
      </c>
      <c r="AC96" s="30">
        <f t="shared" ca="1" si="268"/>
        <v>0</v>
      </c>
      <c r="AD96" s="30">
        <f t="shared" ca="1" si="268"/>
        <v>0</v>
      </c>
      <c r="AE96" s="30">
        <f t="shared" ca="1" si="268"/>
        <v>0</v>
      </c>
      <c r="AF96" s="30">
        <f t="shared" ca="1" si="268"/>
        <v>0</v>
      </c>
      <c r="AG96" s="30">
        <f t="shared" ca="1" si="268"/>
        <v>0</v>
      </c>
      <c r="AH96" s="30">
        <f t="shared" ca="1" si="268"/>
        <v>0</v>
      </c>
      <c r="AI96" s="30">
        <f t="shared" ref="AI96:BK96" ca="1" si="269">AI41</f>
        <v>0</v>
      </c>
      <c r="AJ96" s="30">
        <f t="shared" ca="1" si="269"/>
        <v>0</v>
      </c>
      <c r="AK96" s="30">
        <f t="shared" ca="1" si="269"/>
        <v>0</v>
      </c>
      <c r="AL96" s="30">
        <f t="shared" ca="1" si="269"/>
        <v>0</v>
      </c>
      <c r="AM96" s="30">
        <f t="shared" ca="1" si="269"/>
        <v>0</v>
      </c>
      <c r="AN96" s="30">
        <f t="shared" ca="1" si="269"/>
        <v>0</v>
      </c>
      <c r="AO96" s="30">
        <f t="shared" ca="1" si="269"/>
        <v>0</v>
      </c>
      <c r="AP96" s="30">
        <f t="shared" ca="1" si="269"/>
        <v>0</v>
      </c>
      <c r="AQ96" s="30">
        <f t="shared" ca="1" si="269"/>
        <v>0</v>
      </c>
      <c r="AR96" s="30">
        <f t="shared" ca="1" si="269"/>
        <v>0</v>
      </c>
      <c r="AS96" s="30">
        <f t="shared" ca="1" si="269"/>
        <v>0</v>
      </c>
      <c r="AT96" s="30">
        <f t="shared" ca="1" si="269"/>
        <v>0</v>
      </c>
      <c r="AU96" s="30">
        <f t="shared" ca="1" si="269"/>
        <v>0</v>
      </c>
      <c r="AV96" s="30">
        <f t="shared" ca="1" si="269"/>
        <v>0</v>
      </c>
      <c r="AW96" s="30">
        <f t="shared" ca="1" si="269"/>
        <v>0</v>
      </c>
      <c r="AX96" s="30">
        <f t="shared" ca="1" si="269"/>
        <v>0</v>
      </c>
      <c r="AY96" s="30">
        <f t="shared" ca="1" si="269"/>
        <v>0</v>
      </c>
      <c r="AZ96" s="30">
        <f t="shared" ca="1" si="269"/>
        <v>0</v>
      </c>
      <c r="BA96" s="30">
        <f t="shared" ca="1" si="269"/>
        <v>0</v>
      </c>
      <c r="BB96" s="30">
        <f t="shared" ca="1" si="269"/>
        <v>0</v>
      </c>
      <c r="BC96" s="30">
        <f t="shared" ca="1" si="269"/>
        <v>0</v>
      </c>
      <c r="BD96" s="30">
        <f t="shared" ca="1" si="269"/>
        <v>0</v>
      </c>
      <c r="BE96" s="30">
        <f t="shared" ca="1" si="269"/>
        <v>0</v>
      </c>
      <c r="BF96" s="30">
        <f t="shared" ca="1" si="269"/>
        <v>0</v>
      </c>
      <c r="BG96" s="30">
        <f t="shared" ca="1" si="269"/>
        <v>0</v>
      </c>
      <c r="BH96" s="30">
        <f t="shared" ca="1" si="269"/>
        <v>0</v>
      </c>
      <c r="BI96" s="30">
        <f t="shared" ca="1" si="269"/>
        <v>0</v>
      </c>
      <c r="BJ96" s="30">
        <f t="shared" ca="1" si="269"/>
        <v>0</v>
      </c>
      <c r="BK96" s="30">
        <f t="shared" ca="1" si="269"/>
        <v>0</v>
      </c>
    </row>
    <row r="97" spans="1:63">
      <c r="A97" t="s">
        <v>234</v>
      </c>
      <c r="B97" s="44"/>
      <c r="C97" s="30">
        <f t="shared" ref="C97:AH97" si="270">C71</f>
        <v>0</v>
      </c>
      <c r="D97" s="30">
        <f t="shared" si="270"/>
        <v>0</v>
      </c>
      <c r="E97" s="30">
        <f t="shared" si="270"/>
        <v>0</v>
      </c>
      <c r="F97" s="30">
        <f t="shared" si="270"/>
        <v>0</v>
      </c>
      <c r="G97" s="30">
        <f t="shared" si="270"/>
        <v>0</v>
      </c>
      <c r="H97" s="30">
        <f t="shared" si="270"/>
        <v>0</v>
      </c>
      <c r="I97" s="30">
        <f t="shared" si="270"/>
        <v>0</v>
      </c>
      <c r="J97" s="30">
        <f t="shared" si="270"/>
        <v>0</v>
      </c>
      <c r="K97" s="30">
        <f t="shared" si="270"/>
        <v>0</v>
      </c>
      <c r="L97" s="30">
        <f t="shared" si="270"/>
        <v>0</v>
      </c>
      <c r="M97" s="30">
        <f t="shared" si="270"/>
        <v>0</v>
      </c>
      <c r="N97" s="30">
        <f t="shared" si="270"/>
        <v>0</v>
      </c>
      <c r="O97" s="30">
        <f t="shared" si="270"/>
        <v>0</v>
      </c>
      <c r="P97" s="30">
        <f t="shared" si="270"/>
        <v>0</v>
      </c>
      <c r="Q97" s="30">
        <f t="shared" si="270"/>
        <v>0</v>
      </c>
      <c r="R97" s="30">
        <f t="shared" si="270"/>
        <v>0</v>
      </c>
      <c r="S97" s="30">
        <f t="shared" si="270"/>
        <v>17845.209523809517</v>
      </c>
      <c r="T97" s="30">
        <f t="shared" si="270"/>
        <v>35690.419047619034</v>
      </c>
      <c r="U97" s="30">
        <f t="shared" si="270"/>
        <v>53535.628571428555</v>
      </c>
      <c r="V97" s="30">
        <f t="shared" si="270"/>
        <v>71380.838095238068</v>
      </c>
      <c r="W97" s="30">
        <f t="shared" si="270"/>
        <v>89226.047619047604</v>
      </c>
      <c r="X97" s="30">
        <f t="shared" si="270"/>
        <v>107071.25714285711</v>
      </c>
      <c r="Y97" s="30">
        <f t="shared" si="270"/>
        <v>124916.46666666663</v>
      </c>
      <c r="Z97" s="30">
        <f t="shared" si="270"/>
        <v>142761.67619047614</v>
      </c>
      <c r="AA97" s="30">
        <f t="shared" si="270"/>
        <v>160606.88571428566</v>
      </c>
      <c r="AB97" s="30">
        <f t="shared" si="270"/>
        <v>183285.13297619042</v>
      </c>
      <c r="AC97" s="30">
        <f t="shared" si="270"/>
        <v>201613.64627380949</v>
      </c>
      <c r="AD97" s="30">
        <f t="shared" si="270"/>
        <v>219942.15957142849</v>
      </c>
      <c r="AE97" s="30">
        <f t="shared" si="270"/>
        <v>0</v>
      </c>
      <c r="AF97" s="30">
        <f t="shared" si="270"/>
        <v>0</v>
      </c>
      <c r="AG97" s="30">
        <f t="shared" si="270"/>
        <v>0</v>
      </c>
      <c r="AH97" s="30">
        <f t="shared" si="270"/>
        <v>0</v>
      </c>
      <c r="AI97" s="30">
        <f t="shared" ref="AI97:BK97" si="271">AI71</f>
        <v>0</v>
      </c>
      <c r="AJ97" s="30">
        <f t="shared" si="271"/>
        <v>0</v>
      </c>
      <c r="AK97" s="30">
        <f t="shared" si="271"/>
        <v>0</v>
      </c>
      <c r="AL97" s="30">
        <f t="shared" si="271"/>
        <v>0</v>
      </c>
      <c r="AM97" s="30">
        <f t="shared" si="271"/>
        <v>0</v>
      </c>
      <c r="AN97" s="30">
        <f t="shared" si="271"/>
        <v>0</v>
      </c>
      <c r="AO97" s="30">
        <f t="shared" si="271"/>
        <v>0</v>
      </c>
      <c r="AP97" s="30">
        <f t="shared" si="271"/>
        <v>0</v>
      </c>
      <c r="AQ97" s="30">
        <f t="shared" si="271"/>
        <v>0</v>
      </c>
      <c r="AR97" s="30">
        <f t="shared" si="271"/>
        <v>0</v>
      </c>
      <c r="AS97" s="30">
        <f t="shared" si="271"/>
        <v>0</v>
      </c>
      <c r="AT97" s="30">
        <f t="shared" si="271"/>
        <v>0</v>
      </c>
      <c r="AU97" s="30">
        <f t="shared" si="271"/>
        <v>0</v>
      </c>
      <c r="AV97" s="30">
        <f t="shared" si="271"/>
        <v>0</v>
      </c>
      <c r="AW97" s="30">
        <f t="shared" si="271"/>
        <v>0</v>
      </c>
      <c r="AX97" s="30">
        <f t="shared" si="271"/>
        <v>0</v>
      </c>
      <c r="AY97" s="30">
        <f t="shared" si="271"/>
        <v>0</v>
      </c>
      <c r="AZ97" s="30">
        <f t="shared" si="271"/>
        <v>0</v>
      </c>
      <c r="BA97" s="30">
        <f t="shared" si="271"/>
        <v>0</v>
      </c>
      <c r="BB97" s="30">
        <f t="shared" si="271"/>
        <v>0</v>
      </c>
      <c r="BC97" s="30">
        <f t="shared" si="271"/>
        <v>0</v>
      </c>
      <c r="BD97" s="30">
        <f t="shared" si="271"/>
        <v>0</v>
      </c>
      <c r="BE97" s="30">
        <f t="shared" si="271"/>
        <v>0</v>
      </c>
      <c r="BF97" s="30">
        <f t="shared" si="271"/>
        <v>0</v>
      </c>
      <c r="BG97" s="30">
        <f t="shared" si="271"/>
        <v>0</v>
      </c>
      <c r="BH97" s="30">
        <f t="shared" si="271"/>
        <v>0</v>
      </c>
      <c r="BI97" s="30">
        <f t="shared" si="271"/>
        <v>0</v>
      </c>
      <c r="BJ97" s="30">
        <f t="shared" si="271"/>
        <v>0</v>
      </c>
      <c r="BK97" s="30">
        <f t="shared" si="271"/>
        <v>0</v>
      </c>
    </row>
    <row r="98" spans="1:63">
      <c r="A98" t="s">
        <v>245</v>
      </c>
      <c r="B98" s="44"/>
      <c r="C98" s="30">
        <f t="shared" ref="C98:AH98" si="272">C80</f>
        <v>0</v>
      </c>
      <c r="D98" s="30">
        <f t="shared" si="272"/>
        <v>0</v>
      </c>
      <c r="E98" s="30">
        <f t="shared" si="272"/>
        <v>0</v>
      </c>
      <c r="F98" s="30">
        <f t="shared" si="272"/>
        <v>0</v>
      </c>
      <c r="G98" s="30">
        <f t="shared" si="272"/>
        <v>0</v>
      </c>
      <c r="H98" s="30">
        <f t="shared" si="272"/>
        <v>0</v>
      </c>
      <c r="I98" s="30">
        <f t="shared" si="272"/>
        <v>0</v>
      </c>
      <c r="J98" s="30">
        <f t="shared" si="272"/>
        <v>0</v>
      </c>
      <c r="K98" s="30">
        <f t="shared" si="272"/>
        <v>0</v>
      </c>
      <c r="L98" s="30">
        <f t="shared" si="272"/>
        <v>0</v>
      </c>
      <c r="M98" s="30">
        <f t="shared" si="272"/>
        <v>0</v>
      </c>
      <c r="N98" s="30">
        <f t="shared" si="272"/>
        <v>0</v>
      </c>
      <c r="O98" s="30">
        <f t="shared" si="272"/>
        <v>0</v>
      </c>
      <c r="P98" s="30">
        <f t="shared" si="272"/>
        <v>0</v>
      </c>
      <c r="Q98" s="30">
        <f t="shared" si="272"/>
        <v>0</v>
      </c>
      <c r="R98" s="30">
        <f t="shared" si="272"/>
        <v>0</v>
      </c>
      <c r="S98" s="30">
        <f t="shared" si="272"/>
        <v>0</v>
      </c>
      <c r="T98" s="30">
        <f t="shared" si="272"/>
        <v>0</v>
      </c>
      <c r="U98" s="30">
        <f t="shared" si="272"/>
        <v>0</v>
      </c>
      <c r="V98" s="30">
        <f t="shared" si="272"/>
        <v>0</v>
      </c>
      <c r="W98" s="30">
        <f t="shared" si="272"/>
        <v>0</v>
      </c>
      <c r="X98" s="30">
        <f t="shared" si="272"/>
        <v>0</v>
      </c>
      <c r="Y98" s="30">
        <f t="shared" si="272"/>
        <v>0</v>
      </c>
      <c r="Z98" s="30">
        <f t="shared" si="272"/>
        <v>0</v>
      </c>
      <c r="AA98" s="30">
        <f t="shared" si="272"/>
        <v>0</v>
      </c>
      <c r="AB98" s="30">
        <f t="shared" si="272"/>
        <v>0</v>
      </c>
      <c r="AC98" s="30">
        <f t="shared" si="272"/>
        <v>0</v>
      </c>
      <c r="AD98" s="30">
        <f t="shared" si="272"/>
        <v>52588523.066093117</v>
      </c>
      <c r="AE98" s="30">
        <f t="shared" si="272"/>
        <v>0</v>
      </c>
      <c r="AF98" s="30">
        <f t="shared" si="272"/>
        <v>0</v>
      </c>
      <c r="AG98" s="30">
        <f t="shared" si="272"/>
        <v>0</v>
      </c>
      <c r="AH98" s="30">
        <f t="shared" si="272"/>
        <v>0</v>
      </c>
      <c r="AI98" s="30">
        <f t="shared" ref="AI98:BK98" si="273">AI80</f>
        <v>0</v>
      </c>
      <c r="AJ98" s="30">
        <f t="shared" si="273"/>
        <v>0</v>
      </c>
      <c r="AK98" s="30">
        <f t="shared" si="273"/>
        <v>0</v>
      </c>
      <c r="AL98" s="30">
        <f t="shared" si="273"/>
        <v>0</v>
      </c>
      <c r="AM98" s="30">
        <f t="shared" si="273"/>
        <v>0</v>
      </c>
      <c r="AN98" s="30">
        <f t="shared" si="273"/>
        <v>0</v>
      </c>
      <c r="AO98" s="30">
        <f t="shared" si="273"/>
        <v>0</v>
      </c>
      <c r="AP98" s="30">
        <f t="shared" si="273"/>
        <v>0</v>
      </c>
      <c r="AQ98" s="30">
        <f t="shared" si="273"/>
        <v>0</v>
      </c>
      <c r="AR98" s="30">
        <f t="shared" si="273"/>
        <v>0</v>
      </c>
      <c r="AS98" s="30">
        <f t="shared" si="273"/>
        <v>0</v>
      </c>
      <c r="AT98" s="30">
        <f t="shared" si="273"/>
        <v>0</v>
      </c>
      <c r="AU98" s="30">
        <f t="shared" si="273"/>
        <v>0</v>
      </c>
      <c r="AV98" s="30">
        <f t="shared" si="273"/>
        <v>0</v>
      </c>
      <c r="AW98" s="30">
        <f t="shared" si="273"/>
        <v>0</v>
      </c>
      <c r="AX98" s="30">
        <f t="shared" si="273"/>
        <v>0</v>
      </c>
      <c r="AY98" s="30">
        <f t="shared" si="273"/>
        <v>0</v>
      </c>
      <c r="AZ98" s="30">
        <f t="shared" si="273"/>
        <v>0</v>
      </c>
      <c r="BA98" s="30">
        <f t="shared" si="273"/>
        <v>0</v>
      </c>
      <c r="BB98" s="30">
        <f t="shared" si="273"/>
        <v>0</v>
      </c>
      <c r="BC98" s="30">
        <f t="shared" si="273"/>
        <v>0</v>
      </c>
      <c r="BD98" s="30">
        <f t="shared" si="273"/>
        <v>0</v>
      </c>
      <c r="BE98" s="30">
        <f t="shared" si="273"/>
        <v>0</v>
      </c>
      <c r="BF98" s="30">
        <f t="shared" si="273"/>
        <v>0</v>
      </c>
      <c r="BG98" s="30">
        <f t="shared" si="273"/>
        <v>0</v>
      </c>
      <c r="BH98" s="30">
        <f t="shared" si="273"/>
        <v>0</v>
      </c>
      <c r="BI98" s="30">
        <f t="shared" si="273"/>
        <v>0</v>
      </c>
      <c r="BJ98" s="30">
        <f t="shared" si="273"/>
        <v>0</v>
      </c>
      <c r="BK98" s="30">
        <f t="shared" si="273"/>
        <v>0</v>
      </c>
    </row>
    <row r="99" spans="1:63">
      <c r="A99" t="s">
        <v>254</v>
      </c>
      <c r="B99" s="44"/>
      <c r="C99" s="17">
        <f t="shared" ref="C99:AH99" si="274">SUMIF(C65,"=1",C49)</f>
        <v>0</v>
      </c>
      <c r="D99" s="17">
        <f t="shared" si="274"/>
        <v>0</v>
      </c>
      <c r="E99" s="17">
        <f t="shared" si="274"/>
        <v>0</v>
      </c>
      <c r="F99" s="17">
        <f t="shared" si="274"/>
        <v>0</v>
      </c>
      <c r="G99" s="17">
        <f t="shared" si="274"/>
        <v>0</v>
      </c>
      <c r="H99" s="17">
        <f t="shared" si="274"/>
        <v>0</v>
      </c>
      <c r="I99" s="17">
        <f t="shared" si="274"/>
        <v>0</v>
      </c>
      <c r="J99" s="17">
        <f t="shared" si="274"/>
        <v>0</v>
      </c>
      <c r="K99" s="17">
        <f t="shared" si="274"/>
        <v>0</v>
      </c>
      <c r="L99" s="17">
        <f t="shared" si="274"/>
        <v>0</v>
      </c>
      <c r="M99" s="17">
        <f t="shared" si="274"/>
        <v>0</v>
      </c>
      <c r="N99" s="17">
        <f t="shared" si="274"/>
        <v>0</v>
      </c>
      <c r="O99" s="17">
        <f t="shared" si="274"/>
        <v>0</v>
      </c>
      <c r="P99" s="17">
        <f t="shared" si="274"/>
        <v>0</v>
      </c>
      <c r="Q99" s="17">
        <f t="shared" si="274"/>
        <v>0</v>
      </c>
      <c r="R99" s="17">
        <f t="shared" si="274"/>
        <v>0</v>
      </c>
      <c r="S99" s="17">
        <f t="shared" si="274"/>
        <v>0</v>
      </c>
      <c r="T99" s="17">
        <f t="shared" si="274"/>
        <v>0</v>
      </c>
      <c r="U99" s="17">
        <f t="shared" si="274"/>
        <v>0</v>
      </c>
      <c r="V99" s="17">
        <f t="shared" si="274"/>
        <v>0</v>
      </c>
      <c r="W99" s="17">
        <f t="shared" si="274"/>
        <v>0</v>
      </c>
      <c r="X99" s="17">
        <f t="shared" si="274"/>
        <v>0</v>
      </c>
      <c r="Y99" s="17">
        <f t="shared" si="274"/>
        <v>0</v>
      </c>
      <c r="Z99" s="17">
        <f t="shared" si="274"/>
        <v>0</v>
      </c>
      <c r="AA99" s="17">
        <f t="shared" si="274"/>
        <v>0</v>
      </c>
      <c r="AB99" s="17">
        <f t="shared" si="274"/>
        <v>0</v>
      </c>
      <c r="AC99" s="17">
        <f t="shared" si="274"/>
        <v>0</v>
      </c>
      <c r="AD99" s="17">
        <f t="shared" si="274"/>
        <v>0</v>
      </c>
      <c r="AE99" s="17">
        <f t="shared" si="274"/>
        <v>0</v>
      </c>
      <c r="AF99" s="17">
        <f t="shared" si="274"/>
        <v>0</v>
      </c>
      <c r="AG99" s="17">
        <f t="shared" si="274"/>
        <v>0</v>
      </c>
      <c r="AH99" s="17">
        <f t="shared" si="274"/>
        <v>0</v>
      </c>
      <c r="AI99" s="17">
        <f t="shared" ref="AI99:BB99" si="275">SUMIF(AI65,"=1",AI49)</f>
        <v>0</v>
      </c>
      <c r="AJ99" s="17">
        <f t="shared" si="275"/>
        <v>0</v>
      </c>
      <c r="AK99" s="17">
        <f t="shared" si="275"/>
        <v>0</v>
      </c>
      <c r="AL99" s="17">
        <f t="shared" si="275"/>
        <v>0</v>
      </c>
      <c r="AM99" s="17">
        <f t="shared" si="275"/>
        <v>0</v>
      </c>
      <c r="AN99" s="17">
        <f t="shared" si="275"/>
        <v>0</v>
      </c>
      <c r="AO99" s="17">
        <f t="shared" si="275"/>
        <v>0</v>
      </c>
      <c r="AP99" s="17">
        <f t="shared" si="275"/>
        <v>0</v>
      </c>
      <c r="AQ99" s="17">
        <f t="shared" si="275"/>
        <v>0</v>
      </c>
      <c r="AR99" s="17">
        <f t="shared" si="275"/>
        <v>0</v>
      </c>
      <c r="AS99" s="17">
        <f t="shared" si="275"/>
        <v>0</v>
      </c>
      <c r="AT99" s="17">
        <f t="shared" si="275"/>
        <v>0</v>
      </c>
      <c r="AU99" s="17">
        <f t="shared" si="275"/>
        <v>0</v>
      </c>
      <c r="AV99" s="17">
        <f t="shared" si="275"/>
        <v>0</v>
      </c>
      <c r="AW99" s="17">
        <f t="shared" si="275"/>
        <v>0</v>
      </c>
      <c r="AX99" s="17">
        <f t="shared" si="275"/>
        <v>0</v>
      </c>
      <c r="AY99" s="17">
        <f t="shared" si="275"/>
        <v>0</v>
      </c>
      <c r="AZ99" s="17">
        <f t="shared" si="275"/>
        <v>0</v>
      </c>
      <c r="BA99" s="17">
        <f t="shared" si="275"/>
        <v>0</v>
      </c>
      <c r="BB99" s="17">
        <f t="shared" si="275"/>
        <v>0</v>
      </c>
      <c r="BC99" s="17">
        <f t="shared" ref="BC99:BK99" ca="1" si="276">IF(BC65=0,0,IF(BC72=BC46,0,BC49))</f>
        <v>0</v>
      </c>
      <c r="BD99" s="17">
        <f t="shared" ca="1" si="276"/>
        <v>0</v>
      </c>
      <c r="BE99" s="17">
        <f t="shared" ca="1" si="276"/>
        <v>0</v>
      </c>
      <c r="BF99" s="17">
        <f t="shared" ca="1" si="276"/>
        <v>0</v>
      </c>
      <c r="BG99" s="17">
        <f t="shared" ca="1" si="276"/>
        <v>0</v>
      </c>
      <c r="BH99" s="17">
        <f t="shared" ca="1" si="276"/>
        <v>0</v>
      </c>
      <c r="BI99" s="17">
        <f t="shared" ca="1" si="276"/>
        <v>0</v>
      </c>
      <c r="BJ99" s="17">
        <f t="shared" ca="1" si="276"/>
        <v>0</v>
      </c>
      <c r="BK99" s="17">
        <f t="shared" ca="1" si="276"/>
        <v>0</v>
      </c>
    </row>
    <row r="100" spans="1:63">
      <c r="A100" t="s">
        <v>255</v>
      </c>
      <c r="B100" s="31">
        <f>Inputs!L96</f>
        <v>27</v>
      </c>
      <c r="C100" s="17">
        <f t="shared" ref="C100:AH100" si="277">IF(C8=$B$100,$B$60,0)</f>
        <v>0</v>
      </c>
      <c r="D100" s="17">
        <f t="shared" si="277"/>
        <v>0</v>
      </c>
      <c r="E100" s="17">
        <f t="shared" si="277"/>
        <v>0</v>
      </c>
      <c r="F100" s="17">
        <f t="shared" si="277"/>
        <v>0</v>
      </c>
      <c r="G100" s="17">
        <f t="shared" si="277"/>
        <v>0</v>
      </c>
      <c r="H100" s="17">
        <f t="shared" si="277"/>
        <v>0</v>
      </c>
      <c r="I100" s="17">
        <f t="shared" si="277"/>
        <v>0</v>
      </c>
      <c r="J100" s="17">
        <f t="shared" si="277"/>
        <v>0</v>
      </c>
      <c r="K100" s="17">
        <f t="shared" si="277"/>
        <v>0</v>
      </c>
      <c r="L100" s="17">
        <f t="shared" si="277"/>
        <v>0</v>
      </c>
      <c r="M100" s="17">
        <f t="shared" si="277"/>
        <v>0</v>
      </c>
      <c r="N100" s="17">
        <f t="shared" si="277"/>
        <v>0</v>
      </c>
      <c r="O100" s="17">
        <f t="shared" si="277"/>
        <v>0</v>
      </c>
      <c r="P100" s="17">
        <f t="shared" si="277"/>
        <v>0</v>
      </c>
      <c r="Q100" s="17">
        <f t="shared" si="277"/>
        <v>0</v>
      </c>
      <c r="R100" s="17">
        <f t="shared" si="277"/>
        <v>0</v>
      </c>
      <c r="S100" s="17">
        <f t="shared" si="277"/>
        <v>0</v>
      </c>
      <c r="T100" s="17">
        <f t="shared" si="277"/>
        <v>0</v>
      </c>
      <c r="U100" s="17">
        <f t="shared" si="277"/>
        <v>0</v>
      </c>
      <c r="V100" s="17">
        <f t="shared" si="277"/>
        <v>0</v>
      </c>
      <c r="W100" s="17">
        <f t="shared" si="277"/>
        <v>0</v>
      </c>
      <c r="X100" s="17">
        <f t="shared" si="277"/>
        <v>0</v>
      </c>
      <c r="Y100" s="17">
        <f t="shared" si="277"/>
        <v>0</v>
      </c>
      <c r="Z100" s="17">
        <f t="shared" si="277"/>
        <v>0</v>
      </c>
      <c r="AA100" s="17">
        <f t="shared" si="277"/>
        <v>0</v>
      </c>
      <c r="AB100" s="17">
        <f t="shared" si="277"/>
        <v>0</v>
      </c>
      <c r="AC100" s="17">
        <f t="shared" si="277"/>
        <v>0</v>
      </c>
      <c r="AD100" s="17">
        <f t="shared" ca="1" si="277"/>
        <v>-1.4816967914666748</v>
      </c>
      <c r="AE100" s="17">
        <f t="shared" si="277"/>
        <v>0</v>
      </c>
      <c r="AF100" s="17">
        <f t="shared" si="277"/>
        <v>0</v>
      </c>
      <c r="AG100" s="17">
        <f t="shared" si="277"/>
        <v>0</v>
      </c>
      <c r="AH100" s="17">
        <f t="shared" si="277"/>
        <v>0</v>
      </c>
      <c r="AI100" s="17">
        <f t="shared" ref="AI100:BK100" si="278">IF(AI8=$B$100,$B$60,0)</f>
        <v>0</v>
      </c>
      <c r="AJ100" s="17">
        <f t="shared" si="278"/>
        <v>0</v>
      </c>
      <c r="AK100" s="17">
        <f t="shared" si="278"/>
        <v>0</v>
      </c>
      <c r="AL100" s="17">
        <f t="shared" si="278"/>
        <v>0</v>
      </c>
      <c r="AM100" s="17">
        <f t="shared" si="278"/>
        <v>0</v>
      </c>
      <c r="AN100" s="17">
        <f t="shared" si="278"/>
        <v>0</v>
      </c>
      <c r="AO100" s="17">
        <f t="shared" si="278"/>
        <v>0</v>
      </c>
      <c r="AP100" s="17">
        <f t="shared" si="278"/>
        <v>0</v>
      </c>
      <c r="AQ100" s="17">
        <f t="shared" si="278"/>
        <v>0</v>
      </c>
      <c r="AR100" s="17">
        <f t="shared" si="278"/>
        <v>0</v>
      </c>
      <c r="AS100" s="17">
        <f t="shared" si="278"/>
        <v>0</v>
      </c>
      <c r="AT100" s="17">
        <f t="shared" si="278"/>
        <v>0</v>
      </c>
      <c r="AU100" s="17">
        <f t="shared" si="278"/>
        <v>0</v>
      </c>
      <c r="AV100" s="17">
        <f t="shared" si="278"/>
        <v>0</v>
      </c>
      <c r="AW100" s="17">
        <f t="shared" si="278"/>
        <v>0</v>
      </c>
      <c r="AX100" s="17">
        <f t="shared" si="278"/>
        <v>0</v>
      </c>
      <c r="AY100" s="17">
        <f t="shared" si="278"/>
        <v>0</v>
      </c>
      <c r="AZ100" s="17">
        <f t="shared" si="278"/>
        <v>0</v>
      </c>
      <c r="BA100" s="17">
        <f t="shared" si="278"/>
        <v>0</v>
      </c>
      <c r="BB100" s="17">
        <f t="shared" si="278"/>
        <v>0</v>
      </c>
      <c r="BC100" s="17">
        <f t="shared" si="278"/>
        <v>0</v>
      </c>
      <c r="BD100" s="17">
        <f t="shared" si="278"/>
        <v>0</v>
      </c>
      <c r="BE100" s="17">
        <f t="shared" si="278"/>
        <v>0</v>
      </c>
      <c r="BF100" s="17">
        <f t="shared" si="278"/>
        <v>0</v>
      </c>
      <c r="BG100" s="17">
        <f t="shared" si="278"/>
        <v>0</v>
      </c>
      <c r="BH100" s="17">
        <f t="shared" si="278"/>
        <v>0</v>
      </c>
      <c r="BI100" s="17">
        <f t="shared" si="278"/>
        <v>0</v>
      </c>
      <c r="BJ100" s="17">
        <f t="shared" si="278"/>
        <v>0</v>
      </c>
      <c r="BK100" s="17">
        <f t="shared" si="278"/>
        <v>0</v>
      </c>
    </row>
    <row r="101" spans="1:63">
      <c r="A101" t="s">
        <v>256</v>
      </c>
      <c r="B101" s="31">
        <f>Inputs!L96</f>
        <v>27</v>
      </c>
      <c r="C101" s="17">
        <f>IF(C8=$B$101,SUM($C46:C$46),0)</f>
        <v>0</v>
      </c>
      <c r="D101" s="17">
        <f>IF(D8=$B$101,SUM($C46:D$46),0)</f>
        <v>0</v>
      </c>
      <c r="E101" s="17">
        <f>IF(E8=$B$101,SUM($C46:E$46),0)</f>
        <v>0</v>
      </c>
      <c r="F101" s="17">
        <f>IF(F8=$B$101,SUM($C46:F$46),0)</f>
        <v>0</v>
      </c>
      <c r="G101" s="17">
        <f>IF(G8=$B$101,SUM($C46:G$46),0)</f>
        <v>0</v>
      </c>
      <c r="H101" s="17">
        <f>IF(H8=$B$101,SUM($C46:H$46),0)</f>
        <v>0</v>
      </c>
      <c r="I101" s="17">
        <f>IF(I8=$B$101,SUM($C46:I$46),0)</f>
        <v>0</v>
      </c>
      <c r="J101" s="17">
        <f>IF(J8=$B$101,SUM($C46:J$46),0)</f>
        <v>0</v>
      </c>
      <c r="K101" s="17">
        <f>IF(K8=$B$101,SUM($C46:K$46),0)</f>
        <v>0</v>
      </c>
      <c r="L101" s="17">
        <f>IF(L8=$B$101,SUM($C46:L$46),0)</f>
        <v>0</v>
      </c>
      <c r="M101" s="17">
        <f>IF(M8=$B$101,SUM($C46:M$46),0)</f>
        <v>0</v>
      </c>
      <c r="N101" s="17">
        <f>IF(N8=$B$101,SUM($C46:N$46),0)</f>
        <v>0</v>
      </c>
      <c r="O101" s="17">
        <f>IF(O8=$B$101,SUM($C46:O$46),0)</f>
        <v>0</v>
      </c>
      <c r="P101" s="17">
        <f>IF(P8=$B$101,SUM($C46:P$46),0)</f>
        <v>0</v>
      </c>
      <c r="Q101" s="17">
        <f>IF(Q8=$B$101,SUM($C46:Q$46),0)</f>
        <v>0</v>
      </c>
      <c r="R101" s="17">
        <f>IF(R8=$B$101,SUM($C46:R$46),0)</f>
        <v>0</v>
      </c>
      <c r="S101" s="17">
        <f>IF(S8=$B$101,SUM($C46:S$46),0)</f>
        <v>0</v>
      </c>
      <c r="T101" s="17">
        <f>IF(T8=$B$101,SUM($C46:T$46),0)</f>
        <v>0</v>
      </c>
      <c r="U101" s="17">
        <f>IF(U8=$B$101,SUM($C46:U$46),0)</f>
        <v>0</v>
      </c>
      <c r="V101" s="17">
        <f>IF(V8=$B$101,SUM($C46:V$46),0)</f>
        <v>0</v>
      </c>
      <c r="W101" s="17">
        <f>IF(W8=$B$101,SUM($C46:W$46),0)</f>
        <v>0</v>
      </c>
      <c r="X101" s="17">
        <f>IF(X8=$B$101,SUM($C46:X$46),0)</f>
        <v>0</v>
      </c>
      <c r="Y101" s="17">
        <f>IF(Y8=$B$101,SUM($C46:Y$46),0)</f>
        <v>0</v>
      </c>
      <c r="Z101" s="17">
        <f>IF(Z8=$B$101,SUM($C46:Z$46),0)</f>
        <v>0</v>
      </c>
      <c r="AA101" s="17">
        <f>IF(AA8=$B$101,SUM($C46:AA$46),0)</f>
        <v>0</v>
      </c>
      <c r="AB101" s="17">
        <f>IF(AB8=$B$101,SUM($C46:AB$46),0)</f>
        <v>0</v>
      </c>
      <c r="AC101" s="17">
        <f>IF(AC8=$B$101,SUM($C46:AC$46),0)</f>
        <v>0</v>
      </c>
      <c r="AD101" s="17">
        <f ca="1">IF(AD8=$B$101,SUM($C46:AD$46),0)</f>
        <v>-28320376.042750854</v>
      </c>
      <c r="AE101" s="17">
        <f>IF(AE8=$B$101,SUM($C46:AE$46),0)</f>
        <v>0</v>
      </c>
      <c r="AF101" s="17">
        <f>IF(AF8=$B$101,SUM($C46:AF$46),0)</f>
        <v>0</v>
      </c>
      <c r="AG101" s="17">
        <f>IF(AG8=$B$101,SUM($C46:AG$46),0)</f>
        <v>0</v>
      </c>
      <c r="AH101" s="17">
        <f>IF(AH8=$B$101,SUM($C46:AH$46),0)</f>
        <v>0</v>
      </c>
      <c r="AI101" s="17">
        <f>IF(AI8=$B$101,SUM($C46:AI$46),0)</f>
        <v>0</v>
      </c>
      <c r="AJ101" s="17">
        <f>IF(AJ8=$B$101,SUM($C46:AJ$46),0)</f>
        <v>0</v>
      </c>
      <c r="AK101" s="17">
        <f>IF(AK8=$B$101,SUM($C46:AK$46),0)</f>
        <v>0</v>
      </c>
      <c r="AL101" s="17">
        <f>IF(AL8=$B$101,SUM($C46:AL$46),0)</f>
        <v>0</v>
      </c>
      <c r="AM101" s="17">
        <f>IF(AM8=$B$101,SUM($C46:AM$46),0)</f>
        <v>0</v>
      </c>
      <c r="AN101" s="17">
        <f>IF(AN8=$B$101,SUM($C46:AN$46),0)</f>
        <v>0</v>
      </c>
      <c r="AO101" s="17">
        <f>IF(AO8=$B$101,SUM($C46:AO$46),0)</f>
        <v>0</v>
      </c>
      <c r="AP101" s="17">
        <f>IF(AP8=$B$101,SUM($C46:AP$46),0)</f>
        <v>0</v>
      </c>
      <c r="AQ101" s="17">
        <f>IF(AQ8=$B$101,SUM($C46:AQ$46),0)</f>
        <v>0</v>
      </c>
      <c r="AR101" s="17">
        <f>IF(AR8=$B$101,SUM($C46:AR$46),0)</f>
        <v>0</v>
      </c>
      <c r="AS101" s="17">
        <f>IF(AS8=$B$101,SUM($C46:AS$46),0)</f>
        <v>0</v>
      </c>
      <c r="AT101" s="17">
        <f>IF(AT8=$B$101,SUM($C46:AT$46),0)</f>
        <v>0</v>
      </c>
      <c r="AU101" s="17">
        <f>IF(AU8=$B$101,SUM($C46:AU$46),0)</f>
        <v>0</v>
      </c>
      <c r="AV101" s="17">
        <f>IF(AV8=$B$101,SUM($C46:AV$46),0)</f>
        <v>0</v>
      </c>
      <c r="AW101" s="17">
        <f>IF(AW8=$B$101,SUM($C46:AW$46),0)</f>
        <v>0</v>
      </c>
      <c r="AX101" s="17">
        <f>IF(AX8=$B$101,SUM($C46:AX$46),0)</f>
        <v>0</v>
      </c>
      <c r="AY101" s="17">
        <f>IF(AY8=$B$101,SUM($C46:AY$46),0)</f>
        <v>0</v>
      </c>
      <c r="AZ101" s="17">
        <f>IF(AZ8=$B$101,SUM($C46:AZ$46),0)</f>
        <v>0</v>
      </c>
      <c r="BA101" s="17">
        <f>IF(BA8=$B$101,SUM($C46:BA$46),0)</f>
        <v>0</v>
      </c>
      <c r="BB101" s="17">
        <f>IF(BB8=$B$101,SUM($C46:BB$46),0)</f>
        <v>0</v>
      </c>
      <c r="BC101" s="17">
        <f>IF(BC8=$B$101,SUM($C46:BC$46),0)</f>
        <v>0</v>
      </c>
      <c r="BD101" s="17">
        <f>IF(BD8=$B$101,SUM($C46:BD$46),0)</f>
        <v>0</v>
      </c>
      <c r="BE101" s="17">
        <f>IF(BE8=$B$101,SUM($C46:BE$46),0)</f>
        <v>0</v>
      </c>
      <c r="BF101" s="17">
        <f>IF(BF8=$B$101,SUM($C46:BF$46),0)</f>
        <v>0</v>
      </c>
      <c r="BG101" s="17">
        <f>IF(BG8=$B$101,SUM($C46:BG$46),0)</f>
        <v>0</v>
      </c>
      <c r="BH101" s="17">
        <f>IF(BH8=$B$101,SUM($C46:BH$46),0)</f>
        <v>0</v>
      </c>
      <c r="BI101" s="17">
        <f>IF(BI8=$B$101,SUM($C46:BI$46),0)</f>
        <v>0</v>
      </c>
      <c r="BJ101" s="17">
        <f>IF(BJ8=$B$101,SUM($C46:BJ$46),0)</f>
        <v>0</v>
      </c>
      <c r="BK101" s="17">
        <f>IF(BK8=$B$101,SUM($C46:BK$46),0)</f>
        <v>0</v>
      </c>
    </row>
    <row r="102" spans="1:63">
      <c r="A102" s="52" t="s">
        <v>257</v>
      </c>
      <c r="B102" s="37"/>
      <c r="C102" s="38">
        <f ca="1">SUM(C96:C101)</f>
        <v>-5530078.7713232376</v>
      </c>
      <c r="D102" s="38">
        <f t="shared" ref="D102:BK102" ca="1" si="279">SUM(D96:D101)</f>
        <v>-246875</v>
      </c>
      <c r="E102" s="38">
        <f t="shared" ca="1" si="279"/>
        <v>-246875</v>
      </c>
      <c r="F102" s="38">
        <f t="shared" ca="1" si="279"/>
        <v>-246875</v>
      </c>
      <c r="G102" s="38">
        <f t="shared" ca="1" si="279"/>
        <v>-1746875</v>
      </c>
      <c r="H102" s="38">
        <f t="shared" ca="1" si="279"/>
        <v>-6246875</v>
      </c>
      <c r="I102" s="38">
        <f t="shared" ca="1" si="279"/>
        <v>-4446875</v>
      </c>
      <c r="J102" s="38">
        <f t="shared" ca="1" si="279"/>
        <v>-168922.75696645677</v>
      </c>
      <c r="K102" s="38">
        <f t="shared" ca="1" si="279"/>
        <v>0</v>
      </c>
      <c r="L102" s="38">
        <f t="shared" ca="1" si="279"/>
        <v>0</v>
      </c>
      <c r="M102" s="38">
        <f t="shared" ca="1" si="279"/>
        <v>0</v>
      </c>
      <c r="N102" s="38">
        <f t="shared" ca="1" si="279"/>
        <v>0</v>
      </c>
      <c r="O102" s="38">
        <f t="shared" ca="1" si="279"/>
        <v>0</v>
      </c>
      <c r="P102" s="38">
        <f t="shared" ca="1" si="279"/>
        <v>0</v>
      </c>
      <c r="Q102" s="38">
        <f t="shared" ca="1" si="279"/>
        <v>0</v>
      </c>
      <c r="R102" s="38">
        <f t="shared" ca="1" si="279"/>
        <v>0</v>
      </c>
      <c r="S102" s="38">
        <f t="shared" ca="1" si="279"/>
        <v>17845.209523809517</v>
      </c>
      <c r="T102" s="38">
        <f t="shared" ca="1" si="279"/>
        <v>35690.419047619034</v>
      </c>
      <c r="U102" s="38">
        <f t="shared" ca="1" si="279"/>
        <v>53535.628571428555</v>
      </c>
      <c r="V102" s="38">
        <f t="shared" ca="1" si="279"/>
        <v>71380.838095238068</v>
      </c>
      <c r="W102" s="38">
        <f t="shared" ca="1" si="279"/>
        <v>89226.047619047604</v>
      </c>
      <c r="X102" s="38">
        <f t="shared" ca="1" si="279"/>
        <v>107071.25714285711</v>
      </c>
      <c r="Y102" s="38">
        <f t="shared" ca="1" si="279"/>
        <v>124916.46666666663</v>
      </c>
      <c r="Z102" s="38">
        <f t="shared" ca="1" si="279"/>
        <v>142761.67619047614</v>
      </c>
      <c r="AA102" s="38">
        <f t="shared" ca="1" si="279"/>
        <v>160606.88571428566</v>
      </c>
      <c r="AB102" s="38">
        <f t="shared" ca="1" si="279"/>
        <v>183285.13297619042</v>
      </c>
      <c r="AC102" s="38">
        <f t="shared" ca="1" si="279"/>
        <v>201613.64627380949</v>
      </c>
      <c r="AD102" s="38">
        <f t="shared" ca="1" si="279"/>
        <v>24488087.701216903</v>
      </c>
      <c r="AE102" s="38">
        <f t="shared" ca="1" si="279"/>
        <v>0</v>
      </c>
      <c r="AF102" s="38">
        <f t="shared" ca="1" si="279"/>
        <v>0</v>
      </c>
      <c r="AG102" s="38">
        <f t="shared" ca="1" si="279"/>
        <v>0</v>
      </c>
      <c r="AH102" s="38">
        <f t="shared" ca="1" si="279"/>
        <v>0</v>
      </c>
      <c r="AI102" s="38">
        <f t="shared" ca="1" si="279"/>
        <v>0</v>
      </c>
      <c r="AJ102" s="38">
        <f t="shared" ca="1" si="279"/>
        <v>0</v>
      </c>
      <c r="AK102" s="38">
        <f t="shared" ca="1" si="279"/>
        <v>0</v>
      </c>
      <c r="AL102" s="38">
        <f t="shared" ca="1" si="279"/>
        <v>0</v>
      </c>
      <c r="AM102" s="38">
        <f t="shared" ca="1" si="279"/>
        <v>0</v>
      </c>
      <c r="AN102" s="38">
        <f t="shared" ca="1" si="279"/>
        <v>0</v>
      </c>
      <c r="AO102" s="38">
        <f t="shared" ca="1" si="279"/>
        <v>0</v>
      </c>
      <c r="AP102" s="38">
        <f t="shared" ca="1" si="279"/>
        <v>0</v>
      </c>
      <c r="AQ102" s="38">
        <f t="shared" ca="1" si="279"/>
        <v>0</v>
      </c>
      <c r="AR102" s="38">
        <f t="shared" ca="1" si="279"/>
        <v>0</v>
      </c>
      <c r="AS102" s="38">
        <f t="shared" ca="1" si="279"/>
        <v>0</v>
      </c>
      <c r="AT102" s="38">
        <f t="shared" ca="1" si="279"/>
        <v>0</v>
      </c>
      <c r="AU102" s="38">
        <f t="shared" ca="1" si="279"/>
        <v>0</v>
      </c>
      <c r="AV102" s="38">
        <f t="shared" ca="1" si="279"/>
        <v>0</v>
      </c>
      <c r="AW102" s="38">
        <f t="shared" ca="1" si="279"/>
        <v>0</v>
      </c>
      <c r="AX102" s="38">
        <f t="shared" ca="1" si="279"/>
        <v>0</v>
      </c>
      <c r="AY102" s="38">
        <f t="shared" ca="1" si="279"/>
        <v>0</v>
      </c>
      <c r="AZ102" s="38">
        <f t="shared" ca="1" si="279"/>
        <v>0</v>
      </c>
      <c r="BA102" s="38">
        <f t="shared" ca="1" si="279"/>
        <v>0</v>
      </c>
      <c r="BB102" s="38">
        <f t="shared" ca="1" si="279"/>
        <v>0</v>
      </c>
      <c r="BC102" s="38">
        <f t="shared" ca="1" si="279"/>
        <v>0</v>
      </c>
      <c r="BD102" s="38">
        <f t="shared" ca="1" si="279"/>
        <v>0</v>
      </c>
      <c r="BE102" s="38">
        <f t="shared" ca="1" si="279"/>
        <v>0</v>
      </c>
      <c r="BF102" s="38">
        <f t="shared" ca="1" si="279"/>
        <v>0</v>
      </c>
      <c r="BG102" s="38">
        <f t="shared" ca="1" si="279"/>
        <v>0</v>
      </c>
      <c r="BH102" s="38">
        <f t="shared" ca="1" si="279"/>
        <v>0</v>
      </c>
      <c r="BI102" s="38">
        <f t="shared" ca="1" si="279"/>
        <v>0</v>
      </c>
      <c r="BJ102" s="38">
        <f t="shared" ca="1" si="279"/>
        <v>0</v>
      </c>
      <c r="BK102" s="38">
        <f t="shared" ca="1" si="279"/>
        <v>0</v>
      </c>
    </row>
    <row r="104" spans="1:63">
      <c r="A104" s="10" t="s">
        <v>188</v>
      </c>
      <c r="B104" s="10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</row>
    <row r="105" spans="1:63">
      <c r="A105" s="39" t="s">
        <v>189</v>
      </c>
      <c r="B105" s="40">
        <f ca="1">XIRR(C102:BK102, $C$7:$BK$7)</f>
        <v>0.17193004488945007</v>
      </c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</row>
    <row r="106" spans="1:63">
      <c r="A106" s="41" t="s">
        <v>186</v>
      </c>
      <c r="B106" s="42">
        <f ca="1">SUMIF(C102:BK102, "&gt;0")/-SUMIF(C102:BK102, "&lt;0")</f>
        <v>1.3599406168167849</v>
      </c>
    </row>
    <row r="107" spans="1:63">
      <c r="A107" s="43" t="s">
        <v>187</v>
      </c>
      <c r="B107" s="45">
        <f ca="1">SUM(C102:BK102)</f>
        <v>6795769.3807486333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38EA7-66D6-48FC-BC17-399E39EE3D43}">
  <sheetPr>
    <tabColor theme="4" tint="0.79998168889431442"/>
  </sheetPr>
  <dimension ref="A5:BK107"/>
  <sheetViews>
    <sheetView showGridLines="0" zoomScale="80" zoomScaleNormal="80" workbookViewId="0">
      <selection activeCell="C3" sqref="C3"/>
    </sheetView>
  </sheetViews>
  <sheetFormatPr baseColWidth="10" defaultColWidth="8.83203125" defaultRowHeight="15"/>
  <cols>
    <col min="1" max="1" width="42" bestFit="1" customWidth="1"/>
    <col min="2" max="2" width="14.5" bestFit="1" customWidth="1"/>
    <col min="3" max="3" width="13" bestFit="1" customWidth="1"/>
    <col min="4" max="10" width="12.5" bestFit="1" customWidth="1"/>
    <col min="11" max="11" width="13" bestFit="1" customWidth="1"/>
    <col min="12" max="63" width="12.5" bestFit="1" customWidth="1"/>
  </cols>
  <sheetData>
    <row r="5" spans="1:63" s="50" customFormat="1" ht="19">
      <c r="A5" s="327" t="s">
        <v>258</v>
      </c>
    </row>
    <row r="6" spans="1:63">
      <c r="A6" s="329"/>
      <c r="B6" s="329"/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329"/>
      <c r="AJ6" s="329"/>
      <c r="AK6" s="329"/>
      <c r="AL6" s="329"/>
      <c r="AM6" s="329"/>
      <c r="AN6" s="329"/>
      <c r="AO6" s="329"/>
      <c r="AP6" s="329"/>
      <c r="AQ6" s="329"/>
      <c r="AR6" s="329"/>
      <c r="AS6" s="329"/>
      <c r="AT6" s="329"/>
      <c r="AU6" s="329"/>
      <c r="AV6" s="329"/>
      <c r="AW6" s="329"/>
      <c r="AX6" s="329"/>
      <c r="AY6" s="329"/>
      <c r="AZ6" s="329"/>
      <c r="BA6" s="329"/>
      <c r="BB6" s="329"/>
      <c r="BC6" s="329"/>
      <c r="BD6" s="329"/>
      <c r="BE6" s="329"/>
      <c r="BF6" s="329"/>
      <c r="BG6" s="329"/>
      <c r="BH6" s="329"/>
      <c r="BI6" s="329"/>
      <c r="BJ6" s="329"/>
      <c r="BK6" s="329"/>
    </row>
    <row r="7" spans="1:63">
      <c r="A7" t="s">
        <v>196</v>
      </c>
      <c r="C7" s="4">
        <f>Inputs!K87</f>
        <v>45292</v>
      </c>
      <c r="D7" s="4">
        <f>EOMONTH(C7, 0)+1</f>
        <v>45323</v>
      </c>
      <c r="E7" s="4">
        <f t="shared" ref="E7:BK7" si="0">EOMONTH(D7, 0)+1</f>
        <v>45352</v>
      </c>
      <c r="F7" s="4">
        <f t="shared" si="0"/>
        <v>45383</v>
      </c>
      <c r="G7" s="4">
        <f t="shared" si="0"/>
        <v>45413</v>
      </c>
      <c r="H7" s="4">
        <f t="shared" si="0"/>
        <v>45444</v>
      </c>
      <c r="I7" s="4">
        <f t="shared" si="0"/>
        <v>45474</v>
      </c>
      <c r="J7" s="4">
        <f t="shared" si="0"/>
        <v>45505</v>
      </c>
      <c r="K7" s="4">
        <f t="shared" si="0"/>
        <v>45536</v>
      </c>
      <c r="L7" s="4">
        <f t="shared" si="0"/>
        <v>45566</v>
      </c>
      <c r="M7" s="4">
        <f t="shared" si="0"/>
        <v>45597</v>
      </c>
      <c r="N7" s="4">
        <f t="shared" si="0"/>
        <v>45627</v>
      </c>
      <c r="O7" s="4">
        <f t="shared" si="0"/>
        <v>45658</v>
      </c>
      <c r="P7" s="4">
        <f t="shared" si="0"/>
        <v>45689</v>
      </c>
      <c r="Q7" s="4">
        <f t="shared" si="0"/>
        <v>45717</v>
      </c>
      <c r="R7" s="4">
        <f t="shared" si="0"/>
        <v>45748</v>
      </c>
      <c r="S7" s="4">
        <f t="shared" si="0"/>
        <v>45778</v>
      </c>
      <c r="T7" s="4">
        <f t="shared" si="0"/>
        <v>45809</v>
      </c>
      <c r="U7" s="4">
        <f t="shared" si="0"/>
        <v>45839</v>
      </c>
      <c r="V7" s="4">
        <f t="shared" si="0"/>
        <v>45870</v>
      </c>
      <c r="W7" s="4">
        <f t="shared" si="0"/>
        <v>45901</v>
      </c>
      <c r="X7" s="4">
        <f t="shared" si="0"/>
        <v>45931</v>
      </c>
      <c r="Y7" s="4">
        <f t="shared" si="0"/>
        <v>45962</v>
      </c>
      <c r="Z7" s="4">
        <f t="shared" si="0"/>
        <v>45992</v>
      </c>
      <c r="AA7" s="4">
        <f t="shared" si="0"/>
        <v>46023</v>
      </c>
      <c r="AB7" s="4">
        <f t="shared" si="0"/>
        <v>46054</v>
      </c>
      <c r="AC7" s="4">
        <f t="shared" si="0"/>
        <v>46082</v>
      </c>
      <c r="AD7" s="4">
        <f t="shared" si="0"/>
        <v>46113</v>
      </c>
      <c r="AE7" s="4">
        <f t="shared" si="0"/>
        <v>46143</v>
      </c>
      <c r="AF7" s="4">
        <f t="shared" si="0"/>
        <v>46174</v>
      </c>
      <c r="AG7" s="4">
        <f t="shared" si="0"/>
        <v>46204</v>
      </c>
      <c r="AH7" s="4">
        <f t="shared" si="0"/>
        <v>46235</v>
      </c>
      <c r="AI7" s="4">
        <f t="shared" si="0"/>
        <v>46266</v>
      </c>
      <c r="AJ7" s="4">
        <f t="shared" si="0"/>
        <v>46296</v>
      </c>
      <c r="AK7" s="4">
        <f t="shared" si="0"/>
        <v>46327</v>
      </c>
      <c r="AL7" s="4">
        <f t="shared" si="0"/>
        <v>46357</v>
      </c>
      <c r="AM7" s="4">
        <f t="shared" si="0"/>
        <v>46388</v>
      </c>
      <c r="AN7" s="4">
        <f t="shared" si="0"/>
        <v>46419</v>
      </c>
      <c r="AO7" s="4">
        <f t="shared" si="0"/>
        <v>46447</v>
      </c>
      <c r="AP7" s="4">
        <f t="shared" si="0"/>
        <v>46478</v>
      </c>
      <c r="AQ7" s="4">
        <f t="shared" si="0"/>
        <v>46508</v>
      </c>
      <c r="AR7" s="4">
        <f t="shared" si="0"/>
        <v>46539</v>
      </c>
      <c r="AS7" s="4">
        <f t="shared" si="0"/>
        <v>46569</v>
      </c>
      <c r="AT7" s="4">
        <f t="shared" si="0"/>
        <v>46600</v>
      </c>
      <c r="AU7" s="4">
        <f t="shared" si="0"/>
        <v>46631</v>
      </c>
      <c r="AV7" s="4">
        <f t="shared" si="0"/>
        <v>46661</v>
      </c>
      <c r="AW7" s="4">
        <f t="shared" si="0"/>
        <v>46692</v>
      </c>
      <c r="AX7" s="4">
        <f t="shared" si="0"/>
        <v>46722</v>
      </c>
      <c r="AY7" s="4">
        <f t="shared" si="0"/>
        <v>46753</v>
      </c>
      <c r="AZ7" s="4">
        <f t="shared" si="0"/>
        <v>46784</v>
      </c>
      <c r="BA7" s="4">
        <f t="shared" si="0"/>
        <v>46813</v>
      </c>
      <c r="BB7" s="4">
        <f t="shared" si="0"/>
        <v>46844</v>
      </c>
      <c r="BC7" s="4">
        <f t="shared" si="0"/>
        <v>46874</v>
      </c>
      <c r="BD7" s="4">
        <f t="shared" si="0"/>
        <v>46905</v>
      </c>
      <c r="BE7" s="4">
        <f t="shared" si="0"/>
        <v>46935</v>
      </c>
      <c r="BF7" s="4">
        <f t="shared" si="0"/>
        <v>46966</v>
      </c>
      <c r="BG7" s="4">
        <f t="shared" si="0"/>
        <v>46997</v>
      </c>
      <c r="BH7" s="4">
        <f t="shared" si="0"/>
        <v>47027</v>
      </c>
      <c r="BI7" s="4">
        <f t="shared" si="0"/>
        <v>47058</v>
      </c>
      <c r="BJ7" s="4">
        <f t="shared" si="0"/>
        <v>47088</v>
      </c>
      <c r="BK7" s="4">
        <f t="shared" si="0"/>
        <v>47119</v>
      </c>
    </row>
    <row r="8" spans="1:63">
      <c r="A8" t="s">
        <v>174</v>
      </c>
      <c r="C8">
        <v>0</v>
      </c>
      <c r="D8">
        <f>C8+1</f>
        <v>1</v>
      </c>
      <c r="E8">
        <f t="shared" ref="E8:AK8" si="1">D8+1</f>
        <v>2</v>
      </c>
      <c r="F8">
        <f t="shared" si="1"/>
        <v>3</v>
      </c>
      <c r="G8">
        <f t="shared" si="1"/>
        <v>4</v>
      </c>
      <c r="H8">
        <f t="shared" si="1"/>
        <v>5</v>
      </c>
      <c r="I8">
        <f t="shared" si="1"/>
        <v>6</v>
      </c>
      <c r="J8">
        <f t="shared" si="1"/>
        <v>7</v>
      </c>
      <c r="K8">
        <f t="shared" si="1"/>
        <v>8</v>
      </c>
      <c r="L8">
        <f t="shared" si="1"/>
        <v>9</v>
      </c>
      <c r="M8">
        <f t="shared" si="1"/>
        <v>10</v>
      </c>
      <c r="N8">
        <f t="shared" si="1"/>
        <v>11</v>
      </c>
      <c r="O8">
        <f t="shared" si="1"/>
        <v>12</v>
      </c>
      <c r="P8">
        <f t="shared" si="1"/>
        <v>13</v>
      </c>
      <c r="Q8">
        <f t="shared" si="1"/>
        <v>14</v>
      </c>
      <c r="R8">
        <f t="shared" si="1"/>
        <v>15</v>
      </c>
      <c r="S8">
        <f t="shared" si="1"/>
        <v>16</v>
      </c>
      <c r="T8">
        <f t="shared" si="1"/>
        <v>17</v>
      </c>
      <c r="U8">
        <f t="shared" si="1"/>
        <v>18</v>
      </c>
      <c r="V8">
        <f t="shared" si="1"/>
        <v>19</v>
      </c>
      <c r="W8">
        <f t="shared" si="1"/>
        <v>20</v>
      </c>
      <c r="X8">
        <f t="shared" si="1"/>
        <v>21</v>
      </c>
      <c r="Y8">
        <f t="shared" si="1"/>
        <v>22</v>
      </c>
      <c r="Z8">
        <f t="shared" si="1"/>
        <v>23</v>
      </c>
      <c r="AA8">
        <f t="shared" si="1"/>
        <v>24</v>
      </c>
      <c r="AB8">
        <f t="shared" si="1"/>
        <v>25</v>
      </c>
      <c r="AC8">
        <f t="shared" si="1"/>
        <v>26</v>
      </c>
      <c r="AD8">
        <f t="shared" si="1"/>
        <v>27</v>
      </c>
      <c r="AE8">
        <f t="shared" si="1"/>
        <v>28</v>
      </c>
      <c r="AF8">
        <f t="shared" si="1"/>
        <v>29</v>
      </c>
      <c r="AG8">
        <f t="shared" si="1"/>
        <v>30</v>
      </c>
      <c r="AH8">
        <f t="shared" si="1"/>
        <v>31</v>
      </c>
      <c r="AI8">
        <f t="shared" si="1"/>
        <v>32</v>
      </c>
      <c r="AJ8">
        <f t="shared" si="1"/>
        <v>33</v>
      </c>
      <c r="AK8">
        <f t="shared" si="1"/>
        <v>34</v>
      </c>
      <c r="AL8">
        <f>AK8+1</f>
        <v>35</v>
      </c>
      <c r="AM8">
        <f t="shared" ref="AM8:BK8" si="2">AL8+1</f>
        <v>36</v>
      </c>
      <c r="AN8">
        <f t="shared" si="2"/>
        <v>37</v>
      </c>
      <c r="AO8">
        <f t="shared" si="2"/>
        <v>38</v>
      </c>
      <c r="AP8">
        <f t="shared" si="2"/>
        <v>39</v>
      </c>
      <c r="AQ8">
        <f t="shared" si="2"/>
        <v>40</v>
      </c>
      <c r="AR8">
        <f t="shared" si="2"/>
        <v>41</v>
      </c>
      <c r="AS8">
        <f t="shared" si="2"/>
        <v>42</v>
      </c>
      <c r="AT8">
        <f t="shared" si="2"/>
        <v>43</v>
      </c>
      <c r="AU8">
        <f t="shared" si="2"/>
        <v>44</v>
      </c>
      <c r="AV8">
        <f t="shared" si="2"/>
        <v>45</v>
      </c>
      <c r="AW8">
        <f t="shared" si="2"/>
        <v>46</v>
      </c>
      <c r="AX8">
        <f t="shared" si="2"/>
        <v>47</v>
      </c>
      <c r="AY8">
        <f t="shared" si="2"/>
        <v>48</v>
      </c>
      <c r="AZ8">
        <f t="shared" si="2"/>
        <v>49</v>
      </c>
      <c r="BA8">
        <f t="shared" si="2"/>
        <v>50</v>
      </c>
      <c r="BB8">
        <f t="shared" si="2"/>
        <v>51</v>
      </c>
      <c r="BC8">
        <f t="shared" si="2"/>
        <v>52</v>
      </c>
      <c r="BD8">
        <f t="shared" si="2"/>
        <v>53</v>
      </c>
      <c r="BE8">
        <f t="shared" si="2"/>
        <v>54</v>
      </c>
      <c r="BF8">
        <f t="shared" si="2"/>
        <v>55</v>
      </c>
      <c r="BG8">
        <f t="shared" si="2"/>
        <v>56</v>
      </c>
      <c r="BH8">
        <f t="shared" si="2"/>
        <v>57</v>
      </c>
      <c r="BI8">
        <f t="shared" si="2"/>
        <v>58</v>
      </c>
      <c r="BJ8">
        <f t="shared" si="2"/>
        <v>59</v>
      </c>
      <c r="BK8">
        <f t="shared" si="2"/>
        <v>60</v>
      </c>
    </row>
    <row r="9" spans="1:63">
      <c r="A9" t="s">
        <v>197</v>
      </c>
      <c r="C9">
        <f>YEAR(C7)</f>
        <v>2024</v>
      </c>
      <c r="D9">
        <f t="shared" ref="D9:BK9" si="3">YEAR(D7)</f>
        <v>2024</v>
      </c>
      <c r="E9">
        <f t="shared" si="3"/>
        <v>2024</v>
      </c>
      <c r="F9">
        <f t="shared" si="3"/>
        <v>2024</v>
      </c>
      <c r="G9">
        <f t="shared" si="3"/>
        <v>2024</v>
      </c>
      <c r="H9">
        <f t="shared" si="3"/>
        <v>2024</v>
      </c>
      <c r="I9">
        <f t="shared" si="3"/>
        <v>2024</v>
      </c>
      <c r="J9">
        <f t="shared" si="3"/>
        <v>2024</v>
      </c>
      <c r="K9">
        <f t="shared" si="3"/>
        <v>2024</v>
      </c>
      <c r="L9">
        <f t="shared" si="3"/>
        <v>2024</v>
      </c>
      <c r="M9">
        <f t="shared" si="3"/>
        <v>2024</v>
      </c>
      <c r="N9">
        <f t="shared" si="3"/>
        <v>2024</v>
      </c>
      <c r="O9">
        <f t="shared" si="3"/>
        <v>2025</v>
      </c>
      <c r="P9">
        <f t="shared" si="3"/>
        <v>2025</v>
      </c>
      <c r="Q9">
        <f t="shared" si="3"/>
        <v>2025</v>
      </c>
      <c r="R9">
        <f t="shared" si="3"/>
        <v>2025</v>
      </c>
      <c r="S9">
        <f t="shared" si="3"/>
        <v>2025</v>
      </c>
      <c r="T9">
        <f t="shared" si="3"/>
        <v>2025</v>
      </c>
      <c r="U9">
        <f t="shared" si="3"/>
        <v>2025</v>
      </c>
      <c r="V9">
        <f t="shared" si="3"/>
        <v>2025</v>
      </c>
      <c r="W9">
        <f t="shared" si="3"/>
        <v>2025</v>
      </c>
      <c r="X9">
        <f t="shared" si="3"/>
        <v>2025</v>
      </c>
      <c r="Y9">
        <f t="shared" si="3"/>
        <v>2025</v>
      </c>
      <c r="Z9">
        <f t="shared" si="3"/>
        <v>2025</v>
      </c>
      <c r="AA9">
        <f t="shared" si="3"/>
        <v>2026</v>
      </c>
      <c r="AB9">
        <f t="shared" si="3"/>
        <v>2026</v>
      </c>
      <c r="AC9">
        <f t="shared" si="3"/>
        <v>2026</v>
      </c>
      <c r="AD9">
        <f t="shared" si="3"/>
        <v>2026</v>
      </c>
      <c r="AE9">
        <f t="shared" si="3"/>
        <v>2026</v>
      </c>
      <c r="AF9">
        <f t="shared" si="3"/>
        <v>2026</v>
      </c>
      <c r="AG9">
        <f t="shared" si="3"/>
        <v>2026</v>
      </c>
      <c r="AH9">
        <f t="shared" si="3"/>
        <v>2026</v>
      </c>
      <c r="AI9">
        <f t="shared" si="3"/>
        <v>2026</v>
      </c>
      <c r="AJ9">
        <f t="shared" si="3"/>
        <v>2026</v>
      </c>
      <c r="AK9">
        <f t="shared" si="3"/>
        <v>2026</v>
      </c>
      <c r="AL9">
        <f t="shared" si="3"/>
        <v>2026</v>
      </c>
      <c r="AM9">
        <f t="shared" si="3"/>
        <v>2027</v>
      </c>
      <c r="AN9">
        <f t="shared" si="3"/>
        <v>2027</v>
      </c>
      <c r="AO9">
        <f t="shared" si="3"/>
        <v>2027</v>
      </c>
      <c r="AP9">
        <f t="shared" si="3"/>
        <v>2027</v>
      </c>
      <c r="AQ9">
        <f t="shared" si="3"/>
        <v>2027</v>
      </c>
      <c r="AR9">
        <f t="shared" si="3"/>
        <v>2027</v>
      </c>
      <c r="AS9">
        <f t="shared" si="3"/>
        <v>2027</v>
      </c>
      <c r="AT9">
        <f t="shared" si="3"/>
        <v>2027</v>
      </c>
      <c r="AU9">
        <f t="shared" si="3"/>
        <v>2027</v>
      </c>
      <c r="AV9">
        <f t="shared" si="3"/>
        <v>2027</v>
      </c>
      <c r="AW9">
        <f t="shared" si="3"/>
        <v>2027</v>
      </c>
      <c r="AX9">
        <f t="shared" si="3"/>
        <v>2027</v>
      </c>
      <c r="AY9">
        <f t="shared" si="3"/>
        <v>2028</v>
      </c>
      <c r="AZ9">
        <f t="shared" si="3"/>
        <v>2028</v>
      </c>
      <c r="BA9">
        <f t="shared" si="3"/>
        <v>2028</v>
      </c>
      <c r="BB9">
        <f t="shared" si="3"/>
        <v>2028</v>
      </c>
      <c r="BC9">
        <f t="shared" si="3"/>
        <v>2028</v>
      </c>
      <c r="BD9">
        <f t="shared" si="3"/>
        <v>2028</v>
      </c>
      <c r="BE9">
        <f t="shared" si="3"/>
        <v>2028</v>
      </c>
      <c r="BF9">
        <f t="shared" si="3"/>
        <v>2028</v>
      </c>
      <c r="BG9">
        <f t="shared" si="3"/>
        <v>2028</v>
      </c>
      <c r="BH9">
        <f t="shared" si="3"/>
        <v>2028</v>
      </c>
      <c r="BI9">
        <f t="shared" si="3"/>
        <v>2028</v>
      </c>
      <c r="BJ9">
        <f t="shared" si="3"/>
        <v>2028</v>
      </c>
      <c r="BK9">
        <f t="shared" si="3"/>
        <v>2029</v>
      </c>
    </row>
    <row r="10" spans="1:63">
      <c r="A10" t="s">
        <v>198</v>
      </c>
      <c r="C10">
        <v>1</v>
      </c>
      <c r="D10">
        <f t="shared" ref="D10:BK10" si="4">ROUNDUP(D8/12,0)</f>
        <v>1</v>
      </c>
      <c r="E10">
        <f t="shared" si="4"/>
        <v>1</v>
      </c>
      <c r="F10">
        <f t="shared" si="4"/>
        <v>1</v>
      </c>
      <c r="G10">
        <f t="shared" si="4"/>
        <v>1</v>
      </c>
      <c r="H10">
        <f t="shared" si="4"/>
        <v>1</v>
      </c>
      <c r="I10">
        <f t="shared" si="4"/>
        <v>1</v>
      </c>
      <c r="J10">
        <f t="shared" si="4"/>
        <v>1</v>
      </c>
      <c r="K10">
        <f t="shared" si="4"/>
        <v>1</v>
      </c>
      <c r="L10">
        <f t="shared" si="4"/>
        <v>1</v>
      </c>
      <c r="M10">
        <f t="shared" si="4"/>
        <v>1</v>
      </c>
      <c r="N10">
        <f t="shared" si="4"/>
        <v>1</v>
      </c>
      <c r="O10">
        <f t="shared" si="4"/>
        <v>1</v>
      </c>
      <c r="P10">
        <f t="shared" si="4"/>
        <v>2</v>
      </c>
      <c r="Q10">
        <f t="shared" si="4"/>
        <v>2</v>
      </c>
      <c r="R10">
        <f t="shared" si="4"/>
        <v>2</v>
      </c>
      <c r="S10">
        <f t="shared" si="4"/>
        <v>2</v>
      </c>
      <c r="T10">
        <f t="shared" si="4"/>
        <v>2</v>
      </c>
      <c r="U10">
        <f t="shared" si="4"/>
        <v>2</v>
      </c>
      <c r="V10">
        <f t="shared" si="4"/>
        <v>2</v>
      </c>
      <c r="W10">
        <f t="shared" si="4"/>
        <v>2</v>
      </c>
      <c r="X10">
        <f t="shared" si="4"/>
        <v>2</v>
      </c>
      <c r="Y10">
        <f t="shared" si="4"/>
        <v>2</v>
      </c>
      <c r="Z10">
        <f t="shared" si="4"/>
        <v>2</v>
      </c>
      <c r="AA10">
        <f t="shared" si="4"/>
        <v>2</v>
      </c>
      <c r="AB10">
        <f t="shared" si="4"/>
        <v>3</v>
      </c>
      <c r="AC10">
        <f t="shared" si="4"/>
        <v>3</v>
      </c>
      <c r="AD10">
        <f t="shared" si="4"/>
        <v>3</v>
      </c>
      <c r="AE10">
        <f t="shared" si="4"/>
        <v>3</v>
      </c>
      <c r="AF10">
        <f t="shared" si="4"/>
        <v>3</v>
      </c>
      <c r="AG10">
        <f t="shared" si="4"/>
        <v>3</v>
      </c>
      <c r="AH10">
        <f t="shared" si="4"/>
        <v>3</v>
      </c>
      <c r="AI10">
        <f t="shared" si="4"/>
        <v>3</v>
      </c>
      <c r="AJ10">
        <f t="shared" si="4"/>
        <v>3</v>
      </c>
      <c r="AK10">
        <f t="shared" si="4"/>
        <v>3</v>
      </c>
      <c r="AL10">
        <f t="shared" si="4"/>
        <v>3</v>
      </c>
      <c r="AM10">
        <f t="shared" si="4"/>
        <v>3</v>
      </c>
      <c r="AN10">
        <f t="shared" si="4"/>
        <v>4</v>
      </c>
      <c r="AO10">
        <f t="shared" si="4"/>
        <v>4</v>
      </c>
      <c r="AP10">
        <f t="shared" si="4"/>
        <v>4</v>
      </c>
      <c r="AQ10">
        <f t="shared" si="4"/>
        <v>4</v>
      </c>
      <c r="AR10">
        <f t="shared" si="4"/>
        <v>4</v>
      </c>
      <c r="AS10">
        <f t="shared" si="4"/>
        <v>4</v>
      </c>
      <c r="AT10">
        <f t="shared" si="4"/>
        <v>4</v>
      </c>
      <c r="AU10">
        <f t="shared" si="4"/>
        <v>4</v>
      </c>
      <c r="AV10">
        <f t="shared" si="4"/>
        <v>4</v>
      </c>
      <c r="AW10">
        <f t="shared" si="4"/>
        <v>4</v>
      </c>
      <c r="AX10">
        <f t="shared" si="4"/>
        <v>4</v>
      </c>
      <c r="AY10">
        <f t="shared" si="4"/>
        <v>4</v>
      </c>
      <c r="AZ10">
        <f t="shared" si="4"/>
        <v>5</v>
      </c>
      <c r="BA10">
        <f t="shared" si="4"/>
        <v>5</v>
      </c>
      <c r="BB10">
        <f t="shared" si="4"/>
        <v>5</v>
      </c>
      <c r="BC10">
        <f t="shared" si="4"/>
        <v>5</v>
      </c>
      <c r="BD10">
        <f t="shared" si="4"/>
        <v>5</v>
      </c>
      <c r="BE10">
        <f t="shared" si="4"/>
        <v>5</v>
      </c>
      <c r="BF10">
        <f t="shared" si="4"/>
        <v>5</v>
      </c>
      <c r="BG10">
        <f t="shared" si="4"/>
        <v>5</v>
      </c>
      <c r="BH10">
        <f t="shared" si="4"/>
        <v>5</v>
      </c>
      <c r="BI10">
        <f t="shared" si="4"/>
        <v>5</v>
      </c>
      <c r="BJ10">
        <f t="shared" si="4"/>
        <v>5</v>
      </c>
      <c r="BK10">
        <f t="shared" si="4"/>
        <v>5</v>
      </c>
    </row>
    <row r="12" spans="1:63">
      <c r="A12" s="329" t="s">
        <v>199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329"/>
      <c r="AN12" s="329"/>
      <c r="AO12" s="329"/>
      <c r="AP12" s="329"/>
      <c r="AQ12" s="329"/>
      <c r="AR12" s="329"/>
      <c r="AS12" s="329"/>
      <c r="AT12" s="329"/>
      <c r="AU12" s="329"/>
      <c r="AV12" s="329"/>
      <c r="AW12" s="329"/>
      <c r="AX12" s="329"/>
      <c r="AY12" s="329"/>
      <c r="AZ12" s="329"/>
      <c r="BA12" s="329"/>
      <c r="BB12" s="329"/>
      <c r="BC12" s="329"/>
      <c r="BD12" s="329"/>
      <c r="BE12" s="329"/>
      <c r="BF12" s="329"/>
      <c r="BG12" s="329"/>
      <c r="BH12" s="329"/>
      <c r="BI12" s="329"/>
      <c r="BJ12" s="329"/>
      <c r="BK12" s="329"/>
    </row>
    <row r="13" spans="1:63">
      <c r="A13" s="10" t="s">
        <v>200</v>
      </c>
    </row>
    <row r="14" spans="1:63">
      <c r="A14" s="2" t="s">
        <v>201</v>
      </c>
      <c r="B14" s="2"/>
      <c r="C14" s="46">
        <f>-Inputs!S74</f>
        <v>-5000000</v>
      </c>
      <c r="D14" s="2"/>
      <c r="E14" s="2"/>
      <c r="F14" s="2"/>
      <c r="G14" s="2"/>
    </row>
    <row r="15" spans="1:63" s="5" customFormat="1">
      <c r="A15" s="5" t="s">
        <v>202</v>
      </c>
      <c r="B15"/>
      <c r="C15" s="19">
        <f t="shared" ref="C15:BK15" si="5">SUM(C14:C14)</f>
        <v>-5000000</v>
      </c>
      <c r="D15" s="19">
        <f t="shared" si="5"/>
        <v>0</v>
      </c>
      <c r="E15" s="19">
        <f t="shared" si="5"/>
        <v>0</v>
      </c>
      <c r="F15" s="19">
        <f t="shared" si="5"/>
        <v>0</v>
      </c>
      <c r="G15" s="19">
        <f t="shared" si="5"/>
        <v>0</v>
      </c>
      <c r="H15" s="18">
        <f t="shared" si="5"/>
        <v>0</v>
      </c>
      <c r="I15" s="18">
        <f t="shared" si="5"/>
        <v>0</v>
      </c>
      <c r="J15" s="18">
        <f t="shared" si="5"/>
        <v>0</v>
      </c>
      <c r="K15" s="18">
        <f t="shared" si="5"/>
        <v>0</v>
      </c>
      <c r="L15" s="18">
        <f t="shared" si="5"/>
        <v>0</v>
      </c>
      <c r="M15" s="18">
        <f t="shared" si="5"/>
        <v>0</v>
      </c>
      <c r="N15" s="18">
        <f t="shared" si="5"/>
        <v>0</v>
      </c>
      <c r="O15" s="18">
        <f t="shared" si="5"/>
        <v>0</v>
      </c>
      <c r="P15" s="18">
        <f t="shared" si="5"/>
        <v>0</v>
      </c>
      <c r="Q15" s="18">
        <f t="shared" si="5"/>
        <v>0</v>
      </c>
      <c r="R15" s="18">
        <f t="shared" si="5"/>
        <v>0</v>
      </c>
      <c r="S15" s="18">
        <f t="shared" si="5"/>
        <v>0</v>
      </c>
      <c r="T15" s="18">
        <f t="shared" si="5"/>
        <v>0</v>
      </c>
      <c r="U15" s="18">
        <f t="shared" si="5"/>
        <v>0</v>
      </c>
      <c r="V15" s="18">
        <f t="shared" si="5"/>
        <v>0</v>
      </c>
      <c r="W15" s="18">
        <f t="shared" si="5"/>
        <v>0</v>
      </c>
      <c r="X15" s="18">
        <f t="shared" si="5"/>
        <v>0</v>
      </c>
      <c r="Y15" s="18">
        <f t="shared" si="5"/>
        <v>0</v>
      </c>
      <c r="Z15" s="18">
        <f t="shared" si="5"/>
        <v>0</v>
      </c>
      <c r="AA15" s="18">
        <f t="shared" si="5"/>
        <v>0</v>
      </c>
      <c r="AB15" s="18">
        <f t="shared" si="5"/>
        <v>0</v>
      </c>
      <c r="AC15" s="18">
        <f t="shared" si="5"/>
        <v>0</v>
      </c>
      <c r="AD15" s="18">
        <f t="shared" si="5"/>
        <v>0</v>
      </c>
      <c r="AE15" s="18">
        <f t="shared" si="5"/>
        <v>0</v>
      </c>
      <c r="AF15" s="18">
        <f t="shared" si="5"/>
        <v>0</v>
      </c>
      <c r="AG15" s="18">
        <f t="shared" si="5"/>
        <v>0</v>
      </c>
      <c r="AH15" s="18">
        <f t="shared" si="5"/>
        <v>0</v>
      </c>
      <c r="AI15" s="18">
        <f t="shared" si="5"/>
        <v>0</v>
      </c>
      <c r="AJ15" s="18">
        <f t="shared" si="5"/>
        <v>0</v>
      </c>
      <c r="AK15" s="18">
        <f t="shared" si="5"/>
        <v>0</v>
      </c>
      <c r="AL15" s="18">
        <f t="shared" si="5"/>
        <v>0</v>
      </c>
      <c r="AM15" s="18">
        <f t="shared" si="5"/>
        <v>0</v>
      </c>
      <c r="AN15" s="18">
        <f t="shared" si="5"/>
        <v>0</v>
      </c>
      <c r="AO15" s="18">
        <f t="shared" si="5"/>
        <v>0</v>
      </c>
      <c r="AP15" s="18">
        <f t="shared" si="5"/>
        <v>0</v>
      </c>
      <c r="AQ15" s="18">
        <f t="shared" si="5"/>
        <v>0</v>
      </c>
      <c r="AR15" s="18">
        <f t="shared" si="5"/>
        <v>0</v>
      </c>
      <c r="AS15" s="18">
        <f t="shared" si="5"/>
        <v>0</v>
      </c>
      <c r="AT15" s="18">
        <f t="shared" si="5"/>
        <v>0</v>
      </c>
      <c r="AU15" s="18">
        <f t="shared" si="5"/>
        <v>0</v>
      </c>
      <c r="AV15" s="18">
        <f t="shared" si="5"/>
        <v>0</v>
      </c>
      <c r="AW15" s="18">
        <f t="shared" si="5"/>
        <v>0</v>
      </c>
      <c r="AX15" s="18">
        <f t="shared" si="5"/>
        <v>0</v>
      </c>
      <c r="AY15" s="18">
        <f t="shared" si="5"/>
        <v>0</v>
      </c>
      <c r="AZ15" s="18">
        <f t="shared" si="5"/>
        <v>0</v>
      </c>
      <c r="BA15" s="18">
        <f t="shared" si="5"/>
        <v>0</v>
      </c>
      <c r="BB15" s="18">
        <f t="shared" si="5"/>
        <v>0</v>
      </c>
      <c r="BC15" s="18">
        <f t="shared" si="5"/>
        <v>0</v>
      </c>
      <c r="BD15" s="18">
        <f t="shared" si="5"/>
        <v>0</v>
      </c>
      <c r="BE15" s="18">
        <f t="shared" si="5"/>
        <v>0</v>
      </c>
      <c r="BF15" s="18">
        <f t="shared" si="5"/>
        <v>0</v>
      </c>
      <c r="BG15" s="18">
        <f t="shared" si="5"/>
        <v>0</v>
      </c>
      <c r="BH15" s="18">
        <f t="shared" si="5"/>
        <v>0</v>
      </c>
      <c r="BI15" s="18">
        <f t="shared" si="5"/>
        <v>0</v>
      </c>
      <c r="BJ15" s="18">
        <f t="shared" si="5"/>
        <v>0</v>
      </c>
      <c r="BK15" s="18">
        <f t="shared" si="5"/>
        <v>0</v>
      </c>
    </row>
    <row r="16" spans="1:63" s="5" customFormat="1">
      <c r="C16" s="19"/>
      <c r="D16" s="19"/>
      <c r="E16" s="19"/>
      <c r="F16" s="19"/>
      <c r="G16" s="19"/>
      <c r="H16" s="19"/>
      <c r="I16" s="19"/>
      <c r="J16" s="19"/>
      <c r="K16" s="47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</row>
    <row r="17" spans="1:63" s="5" customFormat="1">
      <c r="A17" s="5" t="s">
        <v>203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</row>
    <row r="18" spans="1:63">
      <c r="A18" s="11" t="s">
        <v>204</v>
      </c>
      <c r="C18" s="58">
        <f>IF(C8=Inputs!$S$91,Inputs!$Q$33,IF(AND(C8&gt;Inputs!$S$91,C8&lt;=Inputs!$S$92),(1-Inputs!$Q$33)/(Inputs!$S$92-Inputs!$S$91),0))</f>
        <v>0</v>
      </c>
      <c r="D18" s="58">
        <f>IF(D8=Inputs!$S$91,Inputs!$Q$33,IF(AND(D8&gt;Inputs!$S$91,D8&lt;=Inputs!$S$92),(1-Inputs!$Q$33)/(Inputs!$S$92-Inputs!$S$91),0))</f>
        <v>0</v>
      </c>
      <c r="E18" s="58">
        <f>IF(E8=Inputs!$S$91,Inputs!$Q$33,IF(AND(E8&gt;Inputs!$S$91,E8&lt;=Inputs!$S$92),(1-Inputs!$Q$33)/(Inputs!$S$92-Inputs!$S$91),0))</f>
        <v>0</v>
      </c>
      <c r="F18" s="58">
        <f>IF(F8=Inputs!$S$91,Inputs!$Q$33,IF(AND(F8&gt;Inputs!$S$91,F8&lt;=Inputs!$S$92),(1-Inputs!$Q$33)/(Inputs!$S$92-Inputs!$S$91),0))</f>
        <v>0</v>
      </c>
      <c r="G18" s="58">
        <f>IF(G8=Inputs!$S$91,Inputs!$Q$33,IF(AND(G8&gt;Inputs!$S$91,G8&lt;=Inputs!$S$92),(1-Inputs!$Q$33)/(Inputs!$S$92-Inputs!$S$91),0))</f>
        <v>0</v>
      </c>
      <c r="H18" s="58">
        <f>IF(H8=Inputs!$S$91,Inputs!$Q$33,IF(AND(H8&gt;Inputs!$S$91,H8&lt;=Inputs!$S$92),(1-Inputs!$Q$33)/(Inputs!$S$92-Inputs!$S$91),0))</f>
        <v>0</v>
      </c>
      <c r="I18" s="58">
        <f>IF(I8=Inputs!$S$91,Inputs!$Q$33,IF(AND(I8&gt;Inputs!$S$91,I8&lt;=Inputs!$S$92),(1-Inputs!$Q$33)/(Inputs!$S$92-Inputs!$S$91),0))</f>
        <v>0</v>
      </c>
      <c r="J18" s="58">
        <f>IF(J8=Inputs!$S$91,Inputs!$Q$33,IF(AND(J8&gt;Inputs!$S$91,J8&lt;=Inputs!$S$92),(1-Inputs!$Q$33)/(Inputs!$S$92-Inputs!$S$91),0))</f>
        <v>0.25</v>
      </c>
      <c r="K18" s="58">
        <f>IF(K8=Inputs!$S$91,Inputs!$Q$33,IF(AND(K8&gt;Inputs!$S$91,K8&lt;=Inputs!$S$92),(1-Inputs!$Q$33)/(Inputs!$S$92-Inputs!$S$91),0))</f>
        <v>0</v>
      </c>
      <c r="L18" s="58">
        <f>IF(L8=Inputs!$S$91,Inputs!$Q$33,IF(AND(L8&gt;Inputs!$S$91,L8&lt;=Inputs!$S$92),(1-Inputs!$Q$33)/(Inputs!$S$92-Inputs!$S$91),0))</f>
        <v>0</v>
      </c>
      <c r="M18" s="58">
        <f>IF(M8=Inputs!$S$91,Inputs!$Q$33,IF(AND(M8&gt;Inputs!$S$91,M8&lt;=Inputs!$S$92),(1-Inputs!$Q$33)/(Inputs!$S$92-Inputs!$S$91),0))</f>
        <v>0</v>
      </c>
      <c r="N18" s="58">
        <f>IF(N8=Inputs!$S$91,Inputs!$Q$33,IF(AND(N8&gt;Inputs!$S$91,N8&lt;=Inputs!$S$92),(1-Inputs!$Q$33)/(Inputs!$S$92-Inputs!$S$91),0))</f>
        <v>0</v>
      </c>
      <c r="O18" s="58">
        <f>IF(O8=Inputs!$S$91,Inputs!$Q$33,IF(AND(O8&gt;Inputs!$S$91,O8&lt;=Inputs!$S$92),(1-Inputs!$Q$33)/(Inputs!$S$92-Inputs!$S$91),0))</f>
        <v>0</v>
      </c>
      <c r="P18" s="58">
        <f>IF(P8=Inputs!$S$91,Inputs!$Q$33,IF(AND(P8&gt;Inputs!$S$91,P8&lt;=Inputs!$S$92),(1-Inputs!$Q$33)/(Inputs!$S$92-Inputs!$S$91),0))</f>
        <v>0</v>
      </c>
      <c r="Q18" s="58">
        <f>IF(Q8=Inputs!$S$91,Inputs!$Q$33,IF(AND(Q8&gt;Inputs!$S$91,Q8&lt;=Inputs!$S$92),(1-Inputs!$Q$33)/(Inputs!$S$92-Inputs!$S$91),0))</f>
        <v>0</v>
      </c>
      <c r="R18" s="58">
        <f>IF(R8=Inputs!$S$91,Inputs!$Q$33,IF(AND(R8&gt;Inputs!$S$91,R8&lt;=Inputs!$S$92),(1-Inputs!$Q$33)/(Inputs!$S$92-Inputs!$S$91),0))</f>
        <v>0</v>
      </c>
      <c r="S18" s="58">
        <f>IF(S8=Inputs!$S$91,Inputs!$Q$33,IF(AND(S8&gt;Inputs!$S$91,S8&lt;=Inputs!$S$92),(1-Inputs!$Q$33)/(Inputs!$S$92-Inputs!$S$91),0))</f>
        <v>0</v>
      </c>
      <c r="T18" s="58">
        <f>IF(T8=Inputs!$S$91,Inputs!$Q$33,IF(AND(T8&gt;Inputs!$S$91,T8&lt;=Inputs!$S$92),(1-Inputs!$Q$33)/(Inputs!$S$92-Inputs!$S$91),0))</f>
        <v>0</v>
      </c>
      <c r="U18" s="58">
        <f>IF(U8=Inputs!$S$91,Inputs!$Q$33,IF(AND(U8&gt;Inputs!$S$91,U8&lt;=Inputs!$S$92),(1-Inputs!$Q$33)/(Inputs!$S$92-Inputs!$S$91),0))</f>
        <v>0</v>
      </c>
      <c r="V18" s="58">
        <f>IF(V8=Inputs!$S$91,Inputs!$Q$33,IF(AND(V8&gt;Inputs!$S$91,V8&lt;=Inputs!$S$92),(1-Inputs!$Q$33)/(Inputs!$S$92-Inputs!$S$91),0))</f>
        <v>0</v>
      </c>
      <c r="W18" s="58">
        <f>IF(W8=Inputs!$S$91,Inputs!$Q$33,IF(AND(W8&gt;Inputs!$S$91,W8&lt;=Inputs!$S$92),(1-Inputs!$Q$33)/(Inputs!$S$92-Inputs!$S$91),0))</f>
        <v>0</v>
      </c>
      <c r="X18" s="58">
        <f>IF(X8=Inputs!$S$91,Inputs!$Q$33,IF(AND(X8&gt;Inputs!$S$91,X8&lt;=Inputs!$S$92),(1-Inputs!$Q$33)/(Inputs!$S$92-Inputs!$S$91),0))</f>
        <v>0</v>
      </c>
      <c r="Y18" s="58">
        <f>IF(Y8=Inputs!$S$91,Inputs!$Q$33,IF(AND(Y8&gt;Inputs!$S$91,Y8&lt;=Inputs!$S$92),(1-Inputs!$Q$33)/(Inputs!$S$92-Inputs!$S$91),0))</f>
        <v>0</v>
      </c>
      <c r="Z18" s="58">
        <f>IF(Z8=Inputs!$S$91,Inputs!$Q$33,IF(AND(Z8&gt;Inputs!$S$91,Z8&lt;=Inputs!$S$92),(1-Inputs!$Q$33)/(Inputs!$S$92-Inputs!$S$91),0))</f>
        <v>0</v>
      </c>
      <c r="AA18" s="58">
        <f>IF(AA8=Inputs!$S$91,Inputs!$Q$33,IF(AND(AA8&gt;Inputs!$S$91,AA8&lt;=Inputs!$S$92),(1-Inputs!$Q$33)/(Inputs!$S$92-Inputs!$S$91),0))</f>
        <v>0</v>
      </c>
      <c r="AB18" s="58">
        <f>IF(AB8=Inputs!$S$91,Inputs!$Q$33,IF(AND(AB8&gt;Inputs!$S$91,AB8&lt;=Inputs!$S$92),(1-Inputs!$Q$33)/(Inputs!$S$92-Inputs!$S$91),0))</f>
        <v>0</v>
      </c>
      <c r="AC18" s="58">
        <f>IF(AC8=Inputs!$S$91,Inputs!$Q$33,IF(AND(AC8&gt;Inputs!$S$91,AC8&lt;=Inputs!$S$92),(1-Inputs!$Q$33)/(Inputs!$S$92-Inputs!$S$91),0))</f>
        <v>0</v>
      </c>
      <c r="AD18" s="58">
        <f>IF(AD8=Inputs!$S$91,Inputs!$Q$33,IF(AND(AD8&gt;Inputs!$S$91,AD8&lt;=Inputs!$S$92),(1-Inputs!$Q$33)/(Inputs!$S$92-Inputs!$S$91),0))</f>
        <v>0</v>
      </c>
      <c r="AE18" s="58">
        <f>IF(AE8=Inputs!$S$91,Inputs!$Q$33,IF(AND(AE8&gt;Inputs!$S$91,AE8&lt;=Inputs!$S$92),(1-Inputs!$Q$33)/(Inputs!$S$92-Inputs!$S$91),0))</f>
        <v>0</v>
      </c>
      <c r="AF18" s="58">
        <f>IF(AF8=Inputs!$S$91,Inputs!$Q$33,IF(AND(AF8&gt;Inputs!$S$91,AF8&lt;=Inputs!$S$92),(1-Inputs!$Q$33)/(Inputs!$S$92-Inputs!$S$91),0))</f>
        <v>0</v>
      </c>
      <c r="AG18" s="58">
        <f>IF(AG8=Inputs!$S$91,Inputs!$Q$33,IF(AND(AG8&gt;Inputs!$S$91,AG8&lt;=Inputs!$S$92),(1-Inputs!$Q$33)/(Inputs!$S$92-Inputs!$S$91),0))</f>
        <v>0</v>
      </c>
      <c r="AH18" s="58">
        <f>IF(AH8=Inputs!$S$91,Inputs!$Q$33,IF(AND(AH8&gt;Inputs!$S$91,AH8&lt;=Inputs!$S$92),(1-Inputs!$Q$33)/(Inputs!$S$92-Inputs!$S$91),0))</f>
        <v>0</v>
      </c>
      <c r="AI18" s="58">
        <f>IF(AI8=Inputs!$S$91,Inputs!$Q$33,IF(AND(AI8&gt;Inputs!$S$91,AI8&lt;=Inputs!$S$92),(1-Inputs!$Q$33)/(Inputs!$S$92-Inputs!$S$91),0))</f>
        <v>0</v>
      </c>
      <c r="AJ18" s="58">
        <f>IF(AJ8=Inputs!$S$91,Inputs!$Q$33,IF(AND(AJ8&gt;Inputs!$S$91,AJ8&lt;=Inputs!$S$92),(1-Inputs!$Q$33)/(Inputs!$S$92-Inputs!$S$91),0))</f>
        <v>0</v>
      </c>
      <c r="AK18" s="58">
        <f>IF(AK8=Inputs!$S$91,Inputs!$Q$33,IF(AND(AK8&gt;Inputs!$S$91,AK8&lt;=Inputs!$S$92),(1-Inputs!$Q$33)/(Inputs!$S$92-Inputs!$S$91),0))</f>
        <v>0</v>
      </c>
      <c r="AL18" s="58">
        <f>IF(AL8=Inputs!$S$91,Inputs!$Q$33,IF(AND(AL8&gt;Inputs!$S$91,AL8&lt;=Inputs!$S$92),(1-Inputs!$Q$33)/(Inputs!$S$92-Inputs!$S$91),0))</f>
        <v>0</v>
      </c>
      <c r="AM18" s="58">
        <f>IF(AM8=Inputs!$S$91,Inputs!$Q$33,IF(AND(AM8&gt;Inputs!$S$91,AM8&lt;=Inputs!$S$92),(1-Inputs!$Q$33)/(Inputs!$S$92-Inputs!$S$91),0))</f>
        <v>0</v>
      </c>
      <c r="AN18" s="58">
        <f>IF(AN8=Inputs!$S$91,Inputs!$Q$33,IF(AND(AN8&gt;Inputs!$S$91,AN8&lt;=Inputs!$S$92),(1-Inputs!$Q$33)/(Inputs!$S$92-Inputs!$S$91),0))</f>
        <v>0</v>
      </c>
      <c r="AO18" s="58">
        <f>IF(AO8=Inputs!$S$91,Inputs!$Q$33,IF(AND(AO8&gt;Inputs!$S$91,AO8&lt;=Inputs!$S$92),(1-Inputs!$Q$33)/(Inputs!$S$92-Inputs!$S$91),0))</f>
        <v>0</v>
      </c>
      <c r="AP18" s="58">
        <f>IF(AP8=Inputs!$S$91,Inputs!$Q$33,IF(AND(AP8&gt;Inputs!$S$91,AP8&lt;=Inputs!$S$92),(1-Inputs!$Q$33)/(Inputs!$S$92-Inputs!$S$91),0))</f>
        <v>0</v>
      </c>
      <c r="AQ18" s="58">
        <f>IF(AQ8=Inputs!$S$91,Inputs!$Q$33,IF(AND(AQ8&gt;Inputs!$S$91,AQ8&lt;=Inputs!$S$92),(1-Inputs!$Q$33)/(Inputs!$S$92-Inputs!$S$91),0))</f>
        <v>0</v>
      </c>
      <c r="AR18" s="58">
        <f>IF(AR8=Inputs!$S$91,Inputs!$Q$33,IF(AND(AR8&gt;Inputs!$S$91,AR8&lt;=Inputs!$S$92),(1-Inputs!$Q$33)/(Inputs!$S$92-Inputs!$S$91),0))</f>
        <v>0</v>
      </c>
      <c r="AS18" s="58">
        <f>IF(AS8=Inputs!$S$91,Inputs!$Q$33,IF(AND(AS8&gt;Inputs!$S$91,AS8&lt;=Inputs!$S$92),(1-Inputs!$Q$33)/(Inputs!$S$92-Inputs!$S$91),0))</f>
        <v>0</v>
      </c>
      <c r="AT18" s="58">
        <f>IF(AT8=Inputs!$S$91,Inputs!$Q$33,IF(AND(AT8&gt;Inputs!$S$91,AT8&lt;=Inputs!$S$92),(1-Inputs!$Q$33)/(Inputs!$S$92-Inputs!$S$91),0))</f>
        <v>0</v>
      </c>
      <c r="AU18" s="58">
        <f>IF(AU8=Inputs!$S$91,Inputs!$Q$33,IF(AND(AU8&gt;Inputs!$S$91,AU8&lt;=Inputs!$S$92),(1-Inputs!$Q$33)/(Inputs!$S$92-Inputs!$S$91),0))</f>
        <v>0</v>
      </c>
      <c r="AV18" s="58">
        <f>IF(AV8=Inputs!$S$91,Inputs!$Q$33,IF(AND(AV8&gt;Inputs!$S$91,AV8&lt;=Inputs!$S$92),(1-Inputs!$Q$33)/(Inputs!$S$92-Inputs!$S$91),0))</f>
        <v>0</v>
      </c>
      <c r="AW18" s="58">
        <f>IF(AW8=Inputs!$S$91,Inputs!$Q$33,IF(AND(AW8&gt;Inputs!$S$91,AW8&lt;=Inputs!$S$92),(1-Inputs!$Q$33)/(Inputs!$S$92-Inputs!$S$91),0))</f>
        <v>0</v>
      </c>
      <c r="AX18" s="58">
        <f>IF(AX8=Inputs!$S$91,Inputs!$Q$33,IF(AND(AX8&gt;Inputs!$S$91,AX8&lt;=Inputs!$S$92),(1-Inputs!$Q$33)/(Inputs!$S$92-Inputs!$S$91),0))</f>
        <v>0</v>
      </c>
      <c r="AY18" s="58">
        <f>IF(AY8=Inputs!$S$91,Inputs!$Q$33,IF(AND(AY8&gt;Inputs!$S$91,AY8&lt;=Inputs!$S$92),(1-Inputs!$Q$33)/(Inputs!$S$92-Inputs!$S$91),0))</f>
        <v>0</v>
      </c>
      <c r="AZ18" s="58">
        <f>IF(AZ8=Inputs!$S$91,Inputs!$Q$33,IF(AND(AZ8&gt;Inputs!$S$91,AZ8&lt;=Inputs!$S$92),(1-Inputs!$Q$33)/(Inputs!$S$92-Inputs!$S$91),0))</f>
        <v>0</v>
      </c>
      <c r="BA18" s="58">
        <f>IF(BA8=Inputs!$S$91,Inputs!$Q$33,IF(AND(BA8&gt;Inputs!$S$91,BA8&lt;=Inputs!$S$92),(1-Inputs!$Q$33)/(Inputs!$S$92-Inputs!$S$91),0))</f>
        <v>0</v>
      </c>
      <c r="BB18" s="58">
        <f>IF(BB8=Inputs!$S$91,Inputs!$Q$33,IF(AND(BB8&gt;Inputs!$S$91,BB8&lt;=Inputs!$S$92),(1-Inputs!$Q$33)/(Inputs!$S$92-Inputs!$S$91),0))</f>
        <v>0</v>
      </c>
      <c r="BC18" s="58">
        <f>IF(BC8=Inputs!$S$91,Inputs!$Q$33,IF(AND(BC8&gt;Inputs!$S$91,BC8&lt;=Inputs!$S$92),(1-Inputs!$Q$33)/(Inputs!$S$92-Inputs!$S$91),0))</f>
        <v>0</v>
      </c>
      <c r="BD18" s="58">
        <f>IF(BD8=Inputs!$S$91,Inputs!$Q$33,IF(AND(BD8&gt;Inputs!$S$91,BD8&lt;=Inputs!$S$92),(1-Inputs!$Q$33)/(Inputs!$S$92-Inputs!$S$91),0))</f>
        <v>0</v>
      </c>
      <c r="BE18" s="58">
        <f>IF(BE8=Inputs!$S$91,Inputs!$Q$33,IF(AND(BE8&gt;Inputs!$S$91,BE8&lt;=Inputs!$S$92),(1-Inputs!$Q$33)/(Inputs!$S$92-Inputs!$S$91),0))</f>
        <v>0</v>
      </c>
      <c r="BF18" s="58">
        <f>IF(BF8=Inputs!$S$91,Inputs!$Q$33,IF(AND(BF8&gt;Inputs!$S$91,BF8&lt;=Inputs!$S$92),(1-Inputs!$Q$33)/(Inputs!$S$92-Inputs!$S$91),0))</f>
        <v>0</v>
      </c>
      <c r="BG18" s="58">
        <f>IF(BG8=Inputs!$S$91,Inputs!$Q$33,IF(AND(BG8&gt;Inputs!$S$91,BG8&lt;=Inputs!$S$92),(1-Inputs!$Q$33)/(Inputs!$S$92-Inputs!$S$91),0))</f>
        <v>0</v>
      </c>
      <c r="BH18" s="58">
        <f>IF(BH8=Inputs!$S$91,Inputs!$Q$33,IF(AND(BH8&gt;Inputs!$S$91,BH8&lt;=Inputs!$S$92),(1-Inputs!$Q$33)/(Inputs!$S$92-Inputs!$S$91),0))</f>
        <v>0</v>
      </c>
      <c r="BI18" s="58">
        <f>IF(BI8=Inputs!$S$91,Inputs!$Q$33,IF(AND(BI8&gt;Inputs!$S$91,BI8&lt;=Inputs!$S$92),(1-Inputs!$Q$33)/(Inputs!$S$92-Inputs!$S$91),0))</f>
        <v>0</v>
      </c>
      <c r="BJ18" s="58">
        <f>IF(BJ8=Inputs!$S$91,Inputs!$Q$33,IF(AND(BJ8&gt;Inputs!$S$91,BJ8&lt;=Inputs!$S$92),(1-Inputs!$Q$33)/(Inputs!$S$92-Inputs!$S$91),0))</f>
        <v>0</v>
      </c>
      <c r="BK18" s="58">
        <f>IF(BK8=Inputs!$S$91,Inputs!$Q$33,IF(AND(BK8&gt;Inputs!$S$91,BK8&lt;=Inputs!$S$92),(1-Inputs!$Q$33)/(Inputs!$S$92-Inputs!$S$91),0))</f>
        <v>0</v>
      </c>
    </row>
    <row r="19" spans="1:63">
      <c r="A19" s="11" t="s">
        <v>205</v>
      </c>
      <c r="C19" s="59">
        <f>-C18*Inputs!$S$33</f>
        <v>0</v>
      </c>
      <c r="D19" s="59">
        <f>-D18*Inputs!$S$33</f>
        <v>0</v>
      </c>
      <c r="E19" s="59">
        <f>-E18*Inputs!$S$33</f>
        <v>0</v>
      </c>
      <c r="F19" s="59">
        <f>-F18*Inputs!$S$33</f>
        <v>0</v>
      </c>
      <c r="G19" s="59">
        <f>-G18*Inputs!$S$33</f>
        <v>0</v>
      </c>
      <c r="H19" s="59">
        <f>-H18*Inputs!$S$33</f>
        <v>0</v>
      </c>
      <c r="I19" s="59">
        <f>-I18*Inputs!$S$33</f>
        <v>0</v>
      </c>
      <c r="J19" s="59">
        <f>-J18*Inputs!$S$33</f>
        <v>0</v>
      </c>
      <c r="K19" s="59">
        <f>-K18*Inputs!$S$33</f>
        <v>0</v>
      </c>
      <c r="L19" s="59">
        <f>-L18*Inputs!$S$33</f>
        <v>0</v>
      </c>
      <c r="M19" s="59">
        <f>-M18*Inputs!$S$33</f>
        <v>0</v>
      </c>
      <c r="N19" s="59">
        <f>-N18*Inputs!$S$33</f>
        <v>0</v>
      </c>
      <c r="O19" s="59">
        <f>-O18*Inputs!$S$33</f>
        <v>0</v>
      </c>
      <c r="P19" s="59">
        <f>-P18*Inputs!$S$33</f>
        <v>0</v>
      </c>
      <c r="Q19" s="59">
        <f>-Q18*Inputs!$S$33</f>
        <v>0</v>
      </c>
      <c r="R19" s="59">
        <f>-R18*Inputs!$S$33</f>
        <v>0</v>
      </c>
      <c r="S19" s="59">
        <f>-S18*Inputs!$S$33</f>
        <v>0</v>
      </c>
      <c r="T19" s="59">
        <f>-T18*Inputs!$S$33</f>
        <v>0</v>
      </c>
      <c r="U19" s="59">
        <f>-U18*Inputs!$S$33</f>
        <v>0</v>
      </c>
      <c r="V19" s="59">
        <f>-V18*Inputs!$S$33</f>
        <v>0</v>
      </c>
      <c r="W19" s="59">
        <f>-W18*Inputs!$S$33</f>
        <v>0</v>
      </c>
      <c r="X19" s="59">
        <f>-X18*Inputs!$S$33</f>
        <v>0</v>
      </c>
      <c r="Y19" s="59">
        <f>-Y18*Inputs!$S$33</f>
        <v>0</v>
      </c>
      <c r="Z19" s="59">
        <f>-Z18*Inputs!$S$33</f>
        <v>0</v>
      </c>
      <c r="AA19" s="59">
        <f>-AA18*Inputs!$S$33</f>
        <v>0</v>
      </c>
      <c r="AB19" s="59">
        <f>-AB18*Inputs!$S$33</f>
        <v>0</v>
      </c>
      <c r="AC19" s="59">
        <f>-AC18*Inputs!$S$33</f>
        <v>0</v>
      </c>
      <c r="AD19" s="59">
        <f>-AD18*Inputs!$S$33</f>
        <v>0</v>
      </c>
      <c r="AE19" s="59">
        <f>-AE18*Inputs!$S$33</f>
        <v>0</v>
      </c>
      <c r="AF19" s="59">
        <f>-AF18*Inputs!$S$33</f>
        <v>0</v>
      </c>
      <c r="AG19" s="59">
        <f>-AG18*Inputs!$S$33</f>
        <v>0</v>
      </c>
      <c r="AH19" s="59">
        <f>-AH18*Inputs!$S$33</f>
        <v>0</v>
      </c>
      <c r="AI19" s="59">
        <f>-AI18*Inputs!$S$33</f>
        <v>0</v>
      </c>
      <c r="AJ19" s="59">
        <f>-AJ18*Inputs!$S$33</f>
        <v>0</v>
      </c>
      <c r="AK19" s="59">
        <f>-AK18*Inputs!$S$33</f>
        <v>0</v>
      </c>
      <c r="AL19" s="59">
        <f>-AL18*Inputs!$S$33</f>
        <v>0</v>
      </c>
      <c r="AM19" s="59">
        <f>-AM18*Inputs!$S$33</f>
        <v>0</v>
      </c>
      <c r="AN19" s="59">
        <f>-AN18*Inputs!$S$33</f>
        <v>0</v>
      </c>
      <c r="AO19" s="59">
        <f>-AO18*Inputs!$S$33</f>
        <v>0</v>
      </c>
      <c r="AP19" s="59">
        <f>-AP18*Inputs!$S$33</f>
        <v>0</v>
      </c>
      <c r="AQ19" s="59">
        <f>-AQ18*Inputs!$S$33</f>
        <v>0</v>
      </c>
      <c r="AR19" s="59">
        <f>-AR18*Inputs!$S$33</f>
        <v>0</v>
      </c>
      <c r="AS19" s="59">
        <f>-AS18*Inputs!$S$33</f>
        <v>0</v>
      </c>
      <c r="AT19" s="59">
        <f>-AT18*Inputs!$S$33</f>
        <v>0</v>
      </c>
      <c r="AU19" s="59">
        <f>-AU18*Inputs!$S$33</f>
        <v>0</v>
      </c>
      <c r="AV19" s="59">
        <f>-AV18*Inputs!$S$33</f>
        <v>0</v>
      </c>
      <c r="AW19" s="59">
        <f>-AW18*Inputs!$S$33</f>
        <v>0</v>
      </c>
      <c r="AX19" s="59">
        <f>-AX18*Inputs!$S$33</f>
        <v>0</v>
      </c>
      <c r="AY19" s="59">
        <f>-AY18*Inputs!$S$33</f>
        <v>0</v>
      </c>
      <c r="AZ19" s="59">
        <f>-AZ18*Inputs!$S$33</f>
        <v>0</v>
      </c>
      <c r="BA19" s="59">
        <f>-BA18*Inputs!$S$33</f>
        <v>0</v>
      </c>
      <c r="BB19" s="59">
        <f>-BB18*Inputs!$S$33</f>
        <v>0</v>
      </c>
      <c r="BC19" s="59">
        <f>-BC18*Inputs!$S$33</f>
        <v>0</v>
      </c>
      <c r="BD19" s="59">
        <f>-BD18*Inputs!$S$33</f>
        <v>0</v>
      </c>
      <c r="BE19" s="59">
        <f>-BE18*Inputs!$S$33</f>
        <v>0</v>
      </c>
      <c r="BF19" s="59">
        <f>-BF18*Inputs!$S$33</f>
        <v>0</v>
      </c>
      <c r="BG19" s="59">
        <f>-BG18*Inputs!$S$33</f>
        <v>0</v>
      </c>
      <c r="BH19" s="59">
        <f>-BH18*Inputs!$S$33</f>
        <v>0</v>
      </c>
      <c r="BI19" s="59">
        <f>-BI18*Inputs!$S$33</f>
        <v>0</v>
      </c>
      <c r="BJ19" s="59">
        <f>-BJ18*Inputs!$S$33</f>
        <v>0</v>
      </c>
      <c r="BK19" s="59">
        <f>-BK18*Inputs!$S$33</f>
        <v>0</v>
      </c>
    </row>
    <row r="20" spans="1:63" s="5" customFormat="1">
      <c r="A20" s="11" t="s">
        <v>206</v>
      </c>
      <c r="B20" s="48">
        <f>SUM(C20:BK20)</f>
        <v>1.0000000000000002</v>
      </c>
      <c r="C20" s="22">
        <f>IF(AND(C8&gt;=Inputs!$S$89,C8&lt;=Inputs!$S$93),1/Inputs!$R$13,0)</f>
        <v>0</v>
      </c>
      <c r="D20" s="22">
        <f>IF(AND(D8&gt;=Inputs!$S$89,D8&lt;=Inputs!$S$93),1/Inputs!$R$13,0)</f>
        <v>0</v>
      </c>
      <c r="E20" s="22">
        <f>IF(AND(E8&gt;=Inputs!$S$89,E8&lt;=Inputs!$S$93),1/Inputs!$R$13,0)</f>
        <v>0</v>
      </c>
      <c r="F20" s="22">
        <f>IF(AND(F8&gt;=Inputs!$S$89,F8&lt;=Inputs!$S$93),1/Inputs!$R$13,0)</f>
        <v>0</v>
      </c>
      <c r="G20" s="22">
        <f>IF(AND(G8&gt;=Inputs!$S$89,G8&lt;=Inputs!$S$93),1/Inputs!$R$13,0)</f>
        <v>0</v>
      </c>
      <c r="H20" s="22">
        <f>IF(AND(H8&gt;=Inputs!$S$89,H8&lt;=Inputs!$S$93),1/Inputs!$R$13,0)</f>
        <v>0</v>
      </c>
      <c r="I20" s="22">
        <f>IF(AND(I8&gt;=Inputs!$S$89,I8&lt;=Inputs!$S$93),1/Inputs!$R$13,0)</f>
        <v>0</v>
      </c>
      <c r="J20" s="22">
        <f>IF(AND(J8&gt;=Inputs!$S$89,J8&lt;=Inputs!$S$93),1/Inputs!$R$13,0)</f>
        <v>0.05</v>
      </c>
      <c r="K20" s="22">
        <f>IF(AND(K8&gt;=Inputs!$S$89,K8&lt;=Inputs!$S$93),1/Inputs!$R$13,0)</f>
        <v>0.05</v>
      </c>
      <c r="L20" s="22">
        <f>IF(AND(L8&gt;=Inputs!$S$89,L8&lt;=Inputs!$S$93),1/Inputs!$R$13,0)</f>
        <v>0.05</v>
      </c>
      <c r="M20" s="22">
        <f>IF(AND(M8&gt;=Inputs!$S$89,M8&lt;=Inputs!$S$93),1/Inputs!$R$13,0)</f>
        <v>0.05</v>
      </c>
      <c r="N20" s="22">
        <f>IF(AND(N8&gt;=Inputs!$S$89,N8&lt;=Inputs!$S$93),1/Inputs!$R$13,0)</f>
        <v>0.05</v>
      </c>
      <c r="O20" s="22">
        <f>IF(AND(O8&gt;=Inputs!$S$89,O8&lt;=Inputs!$S$93),1/Inputs!$R$13,0)</f>
        <v>0.05</v>
      </c>
      <c r="P20" s="22">
        <f>IF(AND(P8&gt;=Inputs!$S$89,P8&lt;=Inputs!$S$93),1/Inputs!$R$13,0)</f>
        <v>0.05</v>
      </c>
      <c r="Q20" s="22">
        <f>IF(AND(Q8&gt;=Inputs!$S$89,Q8&lt;=Inputs!$S$93),1/Inputs!$R$13,0)</f>
        <v>0.05</v>
      </c>
      <c r="R20" s="22">
        <f>IF(AND(R8&gt;=Inputs!$S$89,R8&lt;=Inputs!$S$93),1/Inputs!$R$13,0)</f>
        <v>0.05</v>
      </c>
      <c r="S20" s="22">
        <f>IF(AND(S8&gt;=Inputs!$S$89,S8&lt;=Inputs!$S$93),1/Inputs!$R$13,0)</f>
        <v>0.05</v>
      </c>
      <c r="T20" s="22">
        <f>IF(AND(T8&gt;=Inputs!$S$89,T8&lt;=Inputs!$S$93),1/Inputs!$R$13,0)</f>
        <v>0.05</v>
      </c>
      <c r="U20" s="22">
        <f>IF(AND(U8&gt;=Inputs!$S$89,U8&lt;=Inputs!$S$93),1/Inputs!$R$13,0)</f>
        <v>0.05</v>
      </c>
      <c r="V20" s="22">
        <f>IF(AND(V8&gt;=Inputs!$S$89,V8&lt;=Inputs!$S$93),1/Inputs!$R$13,0)</f>
        <v>0.05</v>
      </c>
      <c r="W20" s="22">
        <f>IF(AND(W8&gt;=Inputs!$S$89,W8&lt;=Inputs!$S$93),1/Inputs!$R$13,0)</f>
        <v>0.05</v>
      </c>
      <c r="X20" s="22">
        <f>IF(AND(X8&gt;=Inputs!$S$89,X8&lt;=Inputs!$S$93),1/Inputs!$R$13,0)</f>
        <v>0.05</v>
      </c>
      <c r="Y20" s="22">
        <f>IF(AND(Y8&gt;=Inputs!$S$89,Y8&lt;=Inputs!$S$93),1/Inputs!$R$13,0)</f>
        <v>0.05</v>
      </c>
      <c r="Z20" s="22">
        <f>IF(AND(Z8&gt;=Inputs!$S$89,Z8&lt;=Inputs!$S$93),1/Inputs!$R$13,0)</f>
        <v>0.05</v>
      </c>
      <c r="AA20" s="22">
        <f>IF(AND(AA8&gt;=Inputs!$S$89,AA8&lt;=Inputs!$S$93),1/Inputs!$R$13,0)</f>
        <v>0.05</v>
      </c>
      <c r="AB20" s="22">
        <f>IF(AND(AB8&gt;=Inputs!$S$89,AB8&lt;=Inputs!$S$93),1/Inputs!$R$13,0)</f>
        <v>0.05</v>
      </c>
      <c r="AC20" s="22">
        <f>IF(AND(AC8&gt;=Inputs!$S$89,AC8&lt;=Inputs!$S$93),1/Inputs!$R$13,0)</f>
        <v>0.05</v>
      </c>
      <c r="AD20" s="22">
        <f>IF(AND(AD8&gt;=Inputs!$S$89,AD8&lt;=Inputs!$S$93),1/Inputs!$R$13,0)</f>
        <v>0</v>
      </c>
      <c r="AE20" s="22">
        <f>IF(AND(AE8&gt;=Inputs!$S$89,AE8&lt;=Inputs!$S$93),1/Inputs!$R$13,0)</f>
        <v>0</v>
      </c>
      <c r="AF20" s="22">
        <f>IF(AND(AF8&gt;=Inputs!$S$89,AF8&lt;=Inputs!$S$93),1/Inputs!$R$13,0)</f>
        <v>0</v>
      </c>
      <c r="AG20" s="22">
        <f>IF(AND(AG8&gt;=Inputs!$S$89,AG8&lt;=Inputs!$S$93),1/Inputs!$R$13,0)</f>
        <v>0</v>
      </c>
      <c r="AH20" s="22">
        <f>IF(AND(AH8&gt;=Inputs!$S$89,AH8&lt;=Inputs!$S$93),1/Inputs!$R$13,0)</f>
        <v>0</v>
      </c>
      <c r="AI20" s="22">
        <f>IF(AND(AI8&gt;=Inputs!$S$89,AI8&lt;=Inputs!$S$93),1/Inputs!$R$13,0)</f>
        <v>0</v>
      </c>
      <c r="AJ20" s="22">
        <f>IF(AND(AJ8&gt;=Inputs!$S$89,AJ8&lt;=Inputs!$S$93),1/Inputs!$R$13,0)</f>
        <v>0</v>
      </c>
      <c r="AK20" s="22">
        <f>IF(AND(AK8&gt;=Inputs!$S$89,AK8&lt;=Inputs!$S$93),1/Inputs!$R$13,0)</f>
        <v>0</v>
      </c>
      <c r="AL20" s="22">
        <f>IF(AND(AL8&gt;=Inputs!$S$89,AL8&lt;=Inputs!$S$93),1/Inputs!$R$13,0)</f>
        <v>0</v>
      </c>
      <c r="AM20" s="22">
        <f>IF(AND(AM8&gt;=Inputs!$S$89,AM8&lt;=Inputs!$S$93),1/Inputs!$R$13,0)</f>
        <v>0</v>
      </c>
      <c r="AN20" s="22">
        <f>IF(AND(AN8&gt;=Inputs!$S$89,AN8&lt;=Inputs!$S$93),1/Inputs!$R$13,0)</f>
        <v>0</v>
      </c>
      <c r="AO20" s="22">
        <f>IF(AND(AO8&gt;=Inputs!$S$89,AO8&lt;=Inputs!$S$93),1/Inputs!$R$13,0)</f>
        <v>0</v>
      </c>
      <c r="AP20" s="22">
        <f>IF(AND(AP8&gt;=Inputs!$S$89,AP8&lt;=Inputs!$S$93),1/Inputs!$R$13,0)</f>
        <v>0</v>
      </c>
      <c r="AQ20" s="22">
        <f>IF(AND(AQ8&gt;=Inputs!$S$89,AQ8&lt;=Inputs!$S$93),1/Inputs!$R$13,0)</f>
        <v>0</v>
      </c>
      <c r="AR20" s="22">
        <f>IF(AND(AR8&gt;=Inputs!$S$89,AR8&lt;=Inputs!$S$93),1/Inputs!$R$13,0)</f>
        <v>0</v>
      </c>
      <c r="AS20" s="22">
        <f>IF(AND(AS8&gt;=Inputs!$S$89,AS8&lt;=Inputs!$S$93),1/Inputs!$R$13,0)</f>
        <v>0</v>
      </c>
      <c r="AT20" s="22">
        <f>IF(AND(AT8&gt;=Inputs!$S$89,AT8&lt;=Inputs!$S$93),1/Inputs!$R$13,0)</f>
        <v>0</v>
      </c>
      <c r="AU20" s="22">
        <f>IF(AND(AU8&gt;=Inputs!$S$89,AU8&lt;=Inputs!$S$93),1/Inputs!$R$13,0)</f>
        <v>0</v>
      </c>
      <c r="AV20" s="22">
        <f>IF(AND(AV8&gt;=Inputs!$S$89,AV8&lt;=Inputs!$S$93),1/Inputs!$R$13,0)</f>
        <v>0</v>
      </c>
      <c r="AW20" s="22">
        <f>IF(AND(AW8&gt;=Inputs!$S$89,AW8&lt;=Inputs!$S$93),1/Inputs!$R$13,0)</f>
        <v>0</v>
      </c>
      <c r="AX20" s="22">
        <f>IF(AND(AX8&gt;=Inputs!$S$89,AX8&lt;=Inputs!$S$93),1/Inputs!$R$13,0)</f>
        <v>0</v>
      </c>
      <c r="AY20" s="22">
        <f>IF(AND(AY8&gt;=Inputs!$S$89,AY8&lt;=Inputs!$S$93),1/Inputs!$R$13,0)</f>
        <v>0</v>
      </c>
      <c r="AZ20" s="22">
        <f>IF(AND(AZ8&gt;=Inputs!$S$89,AZ8&lt;=Inputs!$S$93),1/Inputs!$R$13,0)</f>
        <v>0</v>
      </c>
      <c r="BA20" s="22">
        <f>IF(AND(BA8&gt;=Inputs!$S$89,BA8&lt;=Inputs!$S$93),1/Inputs!$R$13,0)</f>
        <v>0</v>
      </c>
      <c r="BB20" s="22">
        <f>IF(AND(BB8&gt;=Inputs!$S$89,BB8&lt;=Inputs!$S$93),1/Inputs!$R$13,0)</f>
        <v>0</v>
      </c>
      <c r="BC20" s="22">
        <f>IF(AND(BC8&gt;=Inputs!$S$89,BC8&lt;=Inputs!$S$93),1/Inputs!$R$13,0)</f>
        <v>0</v>
      </c>
      <c r="BD20" s="22">
        <f>IF(AND(BD8&gt;=Inputs!$S$89,BD8&lt;=Inputs!$S$93),1/Inputs!$R$13,0)</f>
        <v>0</v>
      </c>
      <c r="BE20" s="22">
        <f>IF(AND(BE8&gt;=Inputs!$S$89,BE8&lt;=Inputs!$S$93),1/Inputs!$R$13,0)</f>
        <v>0</v>
      </c>
      <c r="BF20" s="22">
        <f>IF(AND(BF8&gt;=Inputs!$S$89,BF8&lt;=Inputs!$S$93),1/Inputs!$R$13,0)</f>
        <v>0</v>
      </c>
      <c r="BG20" s="22">
        <f>IF(AND(BG8&gt;=Inputs!$S$89,BG8&lt;=Inputs!$S$93),1/Inputs!$R$13,0)</f>
        <v>0</v>
      </c>
      <c r="BH20" s="22">
        <f>IF(AND(BH8&gt;=Inputs!$S$89,BH8&lt;=Inputs!$S$93),1/Inputs!$R$13,0)</f>
        <v>0</v>
      </c>
      <c r="BI20" s="22">
        <f>IF(AND(BI8&gt;=Inputs!$S$89,BI8&lt;=Inputs!$S$93),1/Inputs!$R$13,0)</f>
        <v>0</v>
      </c>
      <c r="BJ20" s="22">
        <f>IF(AND(BJ8&gt;=Inputs!$S$89,BJ8&lt;=Inputs!$S$93),1/Inputs!$R$13,0)</f>
        <v>0</v>
      </c>
      <c r="BK20" s="22">
        <f>IF(AND(BK8&gt;=Inputs!$S$89,BK8&lt;=Inputs!$S$93),1/Inputs!$R$13,0)</f>
        <v>0</v>
      </c>
    </row>
    <row r="21" spans="1:63" s="5" customFormat="1">
      <c r="A21" s="11" t="s">
        <v>207</v>
      </c>
      <c r="B21" s="49"/>
      <c r="C21" s="21">
        <f>-C20*Inputs!$S$34</f>
        <v>0</v>
      </c>
      <c r="D21" s="21">
        <f>-D20*Inputs!$S$34</f>
        <v>0</v>
      </c>
      <c r="E21" s="21">
        <f>-E20*Inputs!$S$34</f>
        <v>0</v>
      </c>
      <c r="F21" s="21">
        <f>-F20*Inputs!$S$34</f>
        <v>0</v>
      </c>
      <c r="G21" s="21">
        <f>-G20*Inputs!$S$34</f>
        <v>0</v>
      </c>
      <c r="H21" s="21">
        <f>-H20*Inputs!$S$34</f>
        <v>0</v>
      </c>
      <c r="I21" s="21">
        <f>-I20*Inputs!$S$34</f>
        <v>0</v>
      </c>
      <c r="J21" s="21">
        <f>-J20*Inputs!$S$34</f>
        <v>-1800000</v>
      </c>
      <c r="K21" s="21">
        <f>-K20*Inputs!$S$34</f>
        <v>-1800000</v>
      </c>
      <c r="L21" s="21">
        <f>-L20*Inputs!$S$34</f>
        <v>-1800000</v>
      </c>
      <c r="M21" s="21">
        <f>-M20*Inputs!$S$34</f>
        <v>-1800000</v>
      </c>
      <c r="N21" s="21">
        <f>-N20*Inputs!$S$34</f>
        <v>-1800000</v>
      </c>
      <c r="O21" s="21">
        <f>-O20*Inputs!$S$34</f>
        <v>-1800000</v>
      </c>
      <c r="P21" s="21">
        <f>-P20*Inputs!$S$34</f>
        <v>-1800000</v>
      </c>
      <c r="Q21" s="21">
        <f>-Q20*Inputs!$S$34</f>
        <v>-1800000</v>
      </c>
      <c r="R21" s="21">
        <f>-R20*Inputs!$S$34</f>
        <v>-1800000</v>
      </c>
      <c r="S21" s="21">
        <f>-S20*Inputs!$S$34</f>
        <v>-1800000</v>
      </c>
      <c r="T21" s="21">
        <f>-T20*Inputs!$S$34</f>
        <v>-1800000</v>
      </c>
      <c r="U21" s="21">
        <f>-U20*Inputs!$S$34</f>
        <v>-1800000</v>
      </c>
      <c r="V21" s="21">
        <f>-V20*Inputs!$S$34</f>
        <v>-1800000</v>
      </c>
      <c r="W21" s="21">
        <f>-W20*Inputs!$S$34</f>
        <v>-1800000</v>
      </c>
      <c r="X21" s="21">
        <f>-X20*Inputs!$S$34</f>
        <v>-1800000</v>
      </c>
      <c r="Y21" s="21">
        <f>-Y20*Inputs!$S$34</f>
        <v>-1800000</v>
      </c>
      <c r="Z21" s="21">
        <f>-Z20*Inputs!$S$34</f>
        <v>-1800000</v>
      </c>
      <c r="AA21" s="21">
        <f>-AA20*Inputs!$S$34</f>
        <v>-1800000</v>
      </c>
      <c r="AB21" s="21">
        <f>-AB20*Inputs!$S$34</f>
        <v>-1800000</v>
      </c>
      <c r="AC21" s="21">
        <f>-AC20*Inputs!$S$34</f>
        <v>-1800000</v>
      </c>
      <c r="AD21" s="21">
        <f>-AD20*Inputs!$S$34</f>
        <v>0</v>
      </c>
      <c r="AE21" s="21">
        <f>-AE20*Inputs!$S$34</f>
        <v>0</v>
      </c>
      <c r="AF21" s="21">
        <f>-AF20*Inputs!$S$34</f>
        <v>0</v>
      </c>
      <c r="AG21" s="21">
        <f>-AG20*Inputs!$S$34</f>
        <v>0</v>
      </c>
      <c r="AH21" s="21">
        <f>-AH20*Inputs!$S$34</f>
        <v>0</v>
      </c>
      <c r="AI21" s="21">
        <f>-AI20*Inputs!$S$34</f>
        <v>0</v>
      </c>
      <c r="AJ21" s="21">
        <f>-AJ20*Inputs!$S$34</f>
        <v>0</v>
      </c>
      <c r="AK21" s="21">
        <f>-AK20*Inputs!$S$34</f>
        <v>0</v>
      </c>
      <c r="AL21" s="21">
        <f>-AL20*Inputs!$S$34</f>
        <v>0</v>
      </c>
      <c r="AM21" s="21">
        <f>-AM20*Inputs!$S$34</f>
        <v>0</v>
      </c>
      <c r="AN21" s="21">
        <f>-AN20*Inputs!$S$34</f>
        <v>0</v>
      </c>
      <c r="AO21" s="21">
        <f>-AO20*Inputs!$S$34</f>
        <v>0</v>
      </c>
      <c r="AP21" s="21">
        <f>-AP20*Inputs!$S$34</f>
        <v>0</v>
      </c>
      <c r="AQ21" s="21">
        <f>-AQ20*Inputs!$S$34</f>
        <v>0</v>
      </c>
      <c r="AR21" s="21">
        <f>-AR20*Inputs!$S$34</f>
        <v>0</v>
      </c>
      <c r="AS21" s="21">
        <f>-AS20*Inputs!$S$34</f>
        <v>0</v>
      </c>
      <c r="AT21" s="21">
        <f>-AT20*Inputs!$S$34</f>
        <v>0</v>
      </c>
      <c r="AU21" s="21">
        <f>-AU20*Inputs!$S$34</f>
        <v>0</v>
      </c>
      <c r="AV21" s="21">
        <f>-AV20*Inputs!$S$34</f>
        <v>0</v>
      </c>
      <c r="AW21" s="21">
        <f>-AW20*Inputs!$S$34</f>
        <v>0</v>
      </c>
      <c r="AX21" s="21">
        <f>-AX20*Inputs!$S$34</f>
        <v>0</v>
      </c>
      <c r="AY21" s="21">
        <f>-AY20*Inputs!$S$34</f>
        <v>0</v>
      </c>
      <c r="AZ21" s="21">
        <f>-AZ20*Inputs!$S$34</f>
        <v>0</v>
      </c>
      <c r="BA21" s="21">
        <f>-BA20*Inputs!$S$34</f>
        <v>0</v>
      </c>
      <c r="BB21" s="21">
        <f>-BB20*Inputs!$S$34</f>
        <v>0</v>
      </c>
      <c r="BC21" s="21">
        <f>-BC20*Inputs!$S$34</f>
        <v>0</v>
      </c>
      <c r="BD21" s="21">
        <f>-BD20*Inputs!$S$34</f>
        <v>0</v>
      </c>
      <c r="BE21" s="21">
        <f>-BE20*Inputs!$S$34</f>
        <v>0</v>
      </c>
      <c r="BF21" s="21">
        <f>-BF20*Inputs!$S$34</f>
        <v>0</v>
      </c>
      <c r="BG21" s="21">
        <f>-BG20*Inputs!$S$34</f>
        <v>0</v>
      </c>
      <c r="BH21" s="21">
        <f>-BH20*Inputs!$S$34</f>
        <v>0</v>
      </c>
      <c r="BI21" s="21">
        <f>-BI20*Inputs!$S$34</f>
        <v>0</v>
      </c>
      <c r="BJ21" s="21">
        <f>-BJ20*Inputs!$S$34</f>
        <v>0</v>
      </c>
      <c r="BK21" s="21">
        <f>-BK20*Inputs!$S$34</f>
        <v>0</v>
      </c>
    </row>
    <row r="22" spans="1:63" s="5" customFormat="1">
      <c r="A22" s="8" t="s">
        <v>208</v>
      </c>
      <c r="B22" s="23">
        <f>SUM(C22:BK22)</f>
        <v>-36000000</v>
      </c>
      <c r="C22" s="23">
        <f>SUM(C21,C19)</f>
        <v>0</v>
      </c>
      <c r="D22" s="23">
        <f t="shared" ref="D22:BK22" si="6">SUM(D21,D19)</f>
        <v>0</v>
      </c>
      <c r="E22" s="23">
        <f t="shared" si="6"/>
        <v>0</v>
      </c>
      <c r="F22" s="23">
        <f t="shared" si="6"/>
        <v>0</v>
      </c>
      <c r="G22" s="23">
        <f t="shared" si="6"/>
        <v>0</v>
      </c>
      <c r="H22" s="23">
        <f t="shared" si="6"/>
        <v>0</v>
      </c>
      <c r="I22" s="23">
        <f t="shared" si="6"/>
        <v>0</v>
      </c>
      <c r="J22" s="23">
        <f t="shared" si="6"/>
        <v>-1800000</v>
      </c>
      <c r="K22" s="23">
        <f t="shared" si="6"/>
        <v>-1800000</v>
      </c>
      <c r="L22" s="23">
        <f t="shared" si="6"/>
        <v>-1800000</v>
      </c>
      <c r="M22" s="23">
        <f t="shared" si="6"/>
        <v>-1800000</v>
      </c>
      <c r="N22" s="23">
        <f t="shared" si="6"/>
        <v>-1800000</v>
      </c>
      <c r="O22" s="23">
        <f t="shared" si="6"/>
        <v>-1800000</v>
      </c>
      <c r="P22" s="23">
        <f t="shared" si="6"/>
        <v>-1800000</v>
      </c>
      <c r="Q22" s="23">
        <f t="shared" si="6"/>
        <v>-1800000</v>
      </c>
      <c r="R22" s="23">
        <f t="shared" si="6"/>
        <v>-1800000</v>
      </c>
      <c r="S22" s="23">
        <f t="shared" si="6"/>
        <v>-1800000</v>
      </c>
      <c r="T22" s="23">
        <f t="shared" si="6"/>
        <v>-1800000</v>
      </c>
      <c r="U22" s="23">
        <f t="shared" si="6"/>
        <v>-1800000</v>
      </c>
      <c r="V22" s="23">
        <f t="shared" si="6"/>
        <v>-1800000</v>
      </c>
      <c r="W22" s="23">
        <f t="shared" si="6"/>
        <v>-1800000</v>
      </c>
      <c r="X22" s="23">
        <f t="shared" si="6"/>
        <v>-1800000</v>
      </c>
      <c r="Y22" s="23">
        <f t="shared" si="6"/>
        <v>-1800000</v>
      </c>
      <c r="Z22" s="23">
        <f t="shared" si="6"/>
        <v>-1800000</v>
      </c>
      <c r="AA22" s="23">
        <f t="shared" si="6"/>
        <v>-1800000</v>
      </c>
      <c r="AB22" s="23">
        <f t="shared" si="6"/>
        <v>-1800000</v>
      </c>
      <c r="AC22" s="23">
        <f t="shared" si="6"/>
        <v>-1800000</v>
      </c>
      <c r="AD22" s="23">
        <f t="shared" si="6"/>
        <v>0</v>
      </c>
      <c r="AE22" s="23">
        <f t="shared" si="6"/>
        <v>0</v>
      </c>
      <c r="AF22" s="23">
        <f t="shared" si="6"/>
        <v>0</v>
      </c>
      <c r="AG22" s="23">
        <f t="shared" si="6"/>
        <v>0</v>
      </c>
      <c r="AH22" s="23">
        <f t="shared" si="6"/>
        <v>0</v>
      </c>
      <c r="AI22" s="23">
        <f t="shared" si="6"/>
        <v>0</v>
      </c>
      <c r="AJ22" s="23">
        <f t="shared" si="6"/>
        <v>0</v>
      </c>
      <c r="AK22" s="23">
        <f t="shared" si="6"/>
        <v>0</v>
      </c>
      <c r="AL22" s="23">
        <f t="shared" si="6"/>
        <v>0</v>
      </c>
      <c r="AM22" s="23">
        <f t="shared" si="6"/>
        <v>0</v>
      </c>
      <c r="AN22" s="23">
        <f t="shared" si="6"/>
        <v>0</v>
      </c>
      <c r="AO22" s="23">
        <f t="shared" si="6"/>
        <v>0</v>
      </c>
      <c r="AP22" s="23">
        <f t="shared" si="6"/>
        <v>0</v>
      </c>
      <c r="AQ22" s="23">
        <f t="shared" si="6"/>
        <v>0</v>
      </c>
      <c r="AR22" s="23">
        <f t="shared" si="6"/>
        <v>0</v>
      </c>
      <c r="AS22" s="23">
        <f t="shared" si="6"/>
        <v>0</v>
      </c>
      <c r="AT22" s="23">
        <f t="shared" si="6"/>
        <v>0</v>
      </c>
      <c r="AU22" s="23">
        <f t="shared" si="6"/>
        <v>0</v>
      </c>
      <c r="AV22" s="23">
        <f t="shared" si="6"/>
        <v>0</v>
      </c>
      <c r="AW22" s="23">
        <f t="shared" si="6"/>
        <v>0</v>
      </c>
      <c r="AX22" s="23">
        <f t="shared" si="6"/>
        <v>0</v>
      </c>
      <c r="AY22" s="23">
        <f t="shared" si="6"/>
        <v>0</v>
      </c>
      <c r="AZ22" s="23">
        <f t="shared" si="6"/>
        <v>0</v>
      </c>
      <c r="BA22" s="23">
        <f t="shared" si="6"/>
        <v>0</v>
      </c>
      <c r="BB22" s="23">
        <f t="shared" si="6"/>
        <v>0</v>
      </c>
      <c r="BC22" s="23">
        <f t="shared" si="6"/>
        <v>0</v>
      </c>
      <c r="BD22" s="23">
        <f t="shared" si="6"/>
        <v>0</v>
      </c>
      <c r="BE22" s="23">
        <f t="shared" si="6"/>
        <v>0</v>
      </c>
      <c r="BF22" s="23">
        <f t="shared" si="6"/>
        <v>0</v>
      </c>
      <c r="BG22" s="23">
        <f t="shared" si="6"/>
        <v>0</v>
      </c>
      <c r="BH22" s="23">
        <f t="shared" si="6"/>
        <v>0</v>
      </c>
      <c r="BI22" s="23">
        <f t="shared" si="6"/>
        <v>0</v>
      </c>
      <c r="BJ22" s="23">
        <f t="shared" si="6"/>
        <v>0</v>
      </c>
      <c r="BK22" s="23">
        <f t="shared" si="6"/>
        <v>0</v>
      </c>
    </row>
    <row r="23" spans="1:63">
      <c r="A23" s="12"/>
      <c r="B23" s="24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</row>
    <row r="24" spans="1:63" s="5" customFormat="1">
      <c r="A24" s="5" t="s">
        <v>209</v>
      </c>
      <c r="B24" s="25">
        <f>-Inputs!S46</f>
        <v>-4020000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</row>
    <row r="25" spans="1:63" s="5" customFormat="1">
      <c r="A25" s="11" t="s">
        <v>210</v>
      </c>
      <c r="B25" s="48">
        <f>SUM(C25:BK25)</f>
        <v>0.99999999999999933</v>
      </c>
      <c r="C25" s="22">
        <f>IF(AND(C8&gt;=Inputs!$S$87,C8&lt;=Inputs!$S$93),1/(Inputs!$S$93-Inputs!$S$87+1),0)</f>
        <v>3.7037037037037035E-2</v>
      </c>
      <c r="D25" s="22">
        <f>IF(AND(D8&gt;=Inputs!$S$87,D8&lt;=Inputs!$S$93),1/(Inputs!$S$93-Inputs!$S$87+1),0)</f>
        <v>3.7037037037037035E-2</v>
      </c>
      <c r="E25" s="22">
        <f>IF(AND(E8&gt;=Inputs!$S$87,E8&lt;=Inputs!$S$93),1/(Inputs!$S$93-Inputs!$S$87+1),0)</f>
        <v>3.7037037037037035E-2</v>
      </c>
      <c r="F25" s="22">
        <f>IF(AND(F8&gt;=Inputs!$S$87,F8&lt;=Inputs!$S$93),1/(Inputs!$S$93-Inputs!$S$87+1),0)</f>
        <v>3.7037037037037035E-2</v>
      </c>
      <c r="G25" s="22">
        <f>IF(AND(G8&gt;=Inputs!$S$87,G8&lt;=Inputs!$S$93),1/(Inputs!$S$93-Inputs!$S$87+1),0)</f>
        <v>3.7037037037037035E-2</v>
      </c>
      <c r="H25" s="22">
        <f>IF(AND(H8&gt;=Inputs!$S$87,H8&lt;=Inputs!$S$93),1/(Inputs!$S$93-Inputs!$S$87+1),0)</f>
        <v>3.7037037037037035E-2</v>
      </c>
      <c r="I25" s="22">
        <f>IF(AND(I8&gt;=Inputs!$S$87,I8&lt;=Inputs!$S$93),1/(Inputs!$S$93-Inputs!$S$87+1),0)</f>
        <v>3.7037037037037035E-2</v>
      </c>
      <c r="J25" s="22">
        <f>IF(AND(J8&gt;=Inputs!$S$87,J8&lt;=Inputs!$S$93),1/(Inputs!$S$93-Inputs!$S$87+1),0)</f>
        <v>3.7037037037037035E-2</v>
      </c>
      <c r="K25" s="22">
        <f>IF(AND(K8&gt;=Inputs!$S$87,K8&lt;=Inputs!$S$93),1/(Inputs!$S$93-Inputs!$S$87+1),0)</f>
        <v>3.7037037037037035E-2</v>
      </c>
      <c r="L25" s="22">
        <f>IF(AND(L8&gt;=Inputs!$S$87,L8&lt;=Inputs!$S$93),1/(Inputs!$S$93-Inputs!$S$87+1),0)</f>
        <v>3.7037037037037035E-2</v>
      </c>
      <c r="M25" s="22">
        <f>IF(AND(M8&gt;=Inputs!$S$87,M8&lt;=Inputs!$S$93),1/(Inputs!$S$93-Inputs!$S$87+1),0)</f>
        <v>3.7037037037037035E-2</v>
      </c>
      <c r="N25" s="22">
        <f>IF(AND(N8&gt;=Inputs!$S$87,N8&lt;=Inputs!$S$93),1/(Inputs!$S$93-Inputs!$S$87+1),0)</f>
        <v>3.7037037037037035E-2</v>
      </c>
      <c r="O25" s="22">
        <f>IF(AND(O8&gt;=Inputs!$S$87,O8&lt;=Inputs!$S$93),1/(Inputs!$S$93-Inputs!$S$87+1),0)</f>
        <v>3.7037037037037035E-2</v>
      </c>
      <c r="P25" s="22">
        <f>IF(AND(P8&gt;=Inputs!$S$87,P8&lt;=Inputs!$S$93),1/(Inputs!$S$93-Inputs!$S$87+1),0)</f>
        <v>3.7037037037037035E-2</v>
      </c>
      <c r="Q25" s="22">
        <f>IF(AND(Q8&gt;=Inputs!$S$87,Q8&lt;=Inputs!$S$93),1/(Inputs!$S$93-Inputs!$S$87+1),0)</f>
        <v>3.7037037037037035E-2</v>
      </c>
      <c r="R25" s="22">
        <f>IF(AND(R8&gt;=Inputs!$S$87,R8&lt;=Inputs!$S$93),1/(Inputs!$S$93-Inputs!$S$87+1),0)</f>
        <v>3.7037037037037035E-2</v>
      </c>
      <c r="S25" s="22">
        <f>IF(AND(S8&gt;=Inputs!$S$87,S8&lt;=Inputs!$S$93),1/(Inputs!$S$93-Inputs!$S$87+1),0)</f>
        <v>3.7037037037037035E-2</v>
      </c>
      <c r="T25" s="22">
        <f>IF(AND(T8&gt;=Inputs!$S$87,T8&lt;=Inputs!$S$93),1/(Inputs!$S$93-Inputs!$S$87+1),0)</f>
        <v>3.7037037037037035E-2</v>
      </c>
      <c r="U25" s="22">
        <f>IF(AND(U8&gt;=Inputs!$S$87,U8&lt;=Inputs!$S$93),1/(Inputs!$S$93-Inputs!$S$87+1),0)</f>
        <v>3.7037037037037035E-2</v>
      </c>
      <c r="V25" s="22">
        <f>IF(AND(V8&gt;=Inputs!$S$87,V8&lt;=Inputs!$S$93),1/(Inputs!$S$93-Inputs!$S$87+1),0)</f>
        <v>3.7037037037037035E-2</v>
      </c>
      <c r="W25" s="22">
        <f>IF(AND(W8&gt;=Inputs!$S$87,W8&lt;=Inputs!$S$93),1/(Inputs!$S$93-Inputs!$S$87+1),0)</f>
        <v>3.7037037037037035E-2</v>
      </c>
      <c r="X25" s="22">
        <f>IF(AND(X8&gt;=Inputs!$S$87,X8&lt;=Inputs!$S$93),1/(Inputs!$S$93-Inputs!$S$87+1),0)</f>
        <v>3.7037037037037035E-2</v>
      </c>
      <c r="Y25" s="22">
        <f>IF(AND(Y8&gt;=Inputs!$S$87,Y8&lt;=Inputs!$S$93),1/(Inputs!$S$93-Inputs!$S$87+1),0)</f>
        <v>3.7037037037037035E-2</v>
      </c>
      <c r="Z25" s="22">
        <f>IF(AND(Z8&gt;=Inputs!$S$87,Z8&lt;=Inputs!$S$93),1/(Inputs!$S$93-Inputs!$S$87+1),0)</f>
        <v>3.7037037037037035E-2</v>
      </c>
      <c r="AA25" s="22">
        <f>IF(AND(AA8&gt;=Inputs!$S$87,AA8&lt;=Inputs!$S$93),1/(Inputs!$S$93-Inputs!$S$87+1),0)</f>
        <v>3.7037037037037035E-2</v>
      </c>
      <c r="AB25" s="22">
        <f>IF(AND(AB8&gt;=Inputs!$S$87,AB8&lt;=Inputs!$S$93),1/(Inputs!$S$93-Inputs!$S$87+1),0)</f>
        <v>3.7037037037037035E-2</v>
      </c>
      <c r="AC25" s="22">
        <f>IF(AND(AC8&gt;=Inputs!$S$87,AC8&lt;=Inputs!$S$93),1/(Inputs!$S$93-Inputs!$S$87+1),0)</f>
        <v>3.7037037037037035E-2</v>
      </c>
      <c r="AD25" s="22">
        <f>IF(AND(AD8&gt;=Inputs!$S$87,AD8&lt;=Inputs!$S$93),1/(Inputs!$S$93-Inputs!$S$87+1),0)</f>
        <v>0</v>
      </c>
      <c r="AE25" s="22">
        <f>IF(AND(AE8&gt;=Inputs!$S$87,AE8&lt;=Inputs!$S$93),1/(Inputs!$S$93-Inputs!$S$87+1),0)</f>
        <v>0</v>
      </c>
      <c r="AF25" s="22">
        <f>IF(AND(AF8&gt;=Inputs!$S$87,AF8&lt;=Inputs!$S$93),1/(Inputs!$S$93-Inputs!$S$87+1),0)</f>
        <v>0</v>
      </c>
      <c r="AG25" s="22">
        <f>IF(AND(AG8&gt;=Inputs!$S$87,AG8&lt;=Inputs!$S$93),1/(Inputs!$S$93-Inputs!$S$87+1),0)</f>
        <v>0</v>
      </c>
      <c r="AH25" s="22">
        <f>IF(AND(AH8&gt;=Inputs!$S$87,AH8&lt;=Inputs!$S$93),1/(Inputs!$S$93-Inputs!$S$87+1),0)</f>
        <v>0</v>
      </c>
      <c r="AI25" s="22">
        <f>IF(AND(AI8&gt;=Inputs!$S$87,AI8&lt;=Inputs!$S$93),1/(Inputs!$S$93-Inputs!$S$87+1),0)</f>
        <v>0</v>
      </c>
      <c r="AJ25" s="22">
        <f>IF(AND(AJ8&gt;=Inputs!$S$87,AJ8&lt;=Inputs!$S$93),1/(Inputs!$S$93-Inputs!$S$87+1),0)</f>
        <v>0</v>
      </c>
      <c r="AK25" s="22">
        <f>IF(AND(AK8&gt;=Inputs!$S$87,AK8&lt;=Inputs!$S$93),1/(Inputs!$S$93-Inputs!$S$87+1),0)</f>
        <v>0</v>
      </c>
      <c r="AL25" s="22">
        <f>IF(AND(AL8&gt;=Inputs!$S$87,AL8&lt;=Inputs!$S$93),1/(Inputs!$S$93-Inputs!$S$87+1),0)</f>
        <v>0</v>
      </c>
      <c r="AM25" s="22">
        <f>IF(AND(AM8&gt;=Inputs!$S$87,AM8&lt;=Inputs!$S$93),1/(Inputs!$S$93-Inputs!$S$87+1),0)</f>
        <v>0</v>
      </c>
      <c r="AN25" s="22">
        <f>IF(AND(AN8&gt;=Inputs!$S$87,AN8&lt;=Inputs!$S$93),1/(Inputs!$S$93-Inputs!$S$87+1),0)</f>
        <v>0</v>
      </c>
      <c r="AO25" s="22">
        <f>IF(AND(AO8&gt;=Inputs!$S$87,AO8&lt;=Inputs!$S$93),1/(Inputs!$S$93-Inputs!$S$87+1),0)</f>
        <v>0</v>
      </c>
      <c r="AP25" s="22">
        <f>IF(AND(AP8&gt;=Inputs!$S$87,AP8&lt;=Inputs!$S$93),1/(Inputs!$S$93-Inputs!$S$87+1),0)</f>
        <v>0</v>
      </c>
      <c r="AQ25" s="22">
        <f>IF(AND(AQ8&gt;=Inputs!$S$87,AQ8&lt;=Inputs!$S$93),1/(Inputs!$S$93-Inputs!$S$87+1),0)</f>
        <v>0</v>
      </c>
      <c r="AR25" s="22">
        <f>IF(AND(AR8&gt;=Inputs!$S$87,AR8&lt;=Inputs!$S$93),1/(Inputs!$S$93-Inputs!$S$87+1),0)</f>
        <v>0</v>
      </c>
      <c r="AS25" s="22">
        <f>IF(AND(AS8&gt;=Inputs!$S$87,AS8&lt;=Inputs!$S$93),1/(Inputs!$S$93-Inputs!$S$87+1),0)</f>
        <v>0</v>
      </c>
      <c r="AT25" s="22">
        <f>IF(AND(AT8&gt;=Inputs!$S$87,AT8&lt;=Inputs!$S$93),1/(Inputs!$S$93-Inputs!$S$87+1),0)</f>
        <v>0</v>
      </c>
      <c r="AU25" s="22">
        <f>IF(AND(AU8&gt;=Inputs!$S$87,AU8&lt;=Inputs!$S$93),1/(Inputs!$S$93-Inputs!$S$87+1),0)</f>
        <v>0</v>
      </c>
      <c r="AV25" s="22">
        <f>IF(AND(AV8&gt;=Inputs!$S$87,AV8&lt;=Inputs!$S$93),1/(Inputs!$S$93-Inputs!$S$87+1),0)</f>
        <v>0</v>
      </c>
      <c r="AW25" s="22">
        <f>IF(AND(AW8&gt;=Inputs!$S$87,AW8&lt;=Inputs!$S$93),1/(Inputs!$S$93-Inputs!$S$87+1),0)</f>
        <v>0</v>
      </c>
      <c r="AX25" s="22">
        <f>IF(AND(AX8&gt;=Inputs!$S$87,AX8&lt;=Inputs!$S$93),1/(Inputs!$S$93-Inputs!$S$87+1),0)</f>
        <v>0</v>
      </c>
      <c r="AY25" s="22">
        <f>IF(AND(AY8&gt;=Inputs!$S$87,AY8&lt;=Inputs!$S$93),1/(Inputs!$S$93-Inputs!$S$87+1),0)</f>
        <v>0</v>
      </c>
      <c r="AZ25" s="22">
        <f>IF(AND(AZ8&gt;=Inputs!$S$87,AZ8&lt;=Inputs!$S$93),1/(Inputs!$S$93-Inputs!$S$87+1),0)</f>
        <v>0</v>
      </c>
      <c r="BA25" s="22">
        <f>IF(AND(BA8&gt;=Inputs!$S$87,BA8&lt;=Inputs!$S$93),1/(Inputs!$S$93-Inputs!$S$87+1),0)</f>
        <v>0</v>
      </c>
      <c r="BB25" s="22">
        <f>IF(AND(BB8&gt;=Inputs!$S$87,BB8&lt;=Inputs!$S$93),1/(Inputs!$S$93-Inputs!$S$87+1),0)</f>
        <v>0</v>
      </c>
      <c r="BC25" s="22">
        <f>IF(AND(BC8&gt;=Inputs!$S$87,BC8&lt;=Inputs!$S$93),1/(Inputs!$S$93-Inputs!$S$87+1),0)</f>
        <v>0</v>
      </c>
      <c r="BD25" s="22">
        <f>IF(AND(BD8&gt;=Inputs!$S$87,BD8&lt;=Inputs!$S$93),1/(Inputs!$S$93-Inputs!$S$87+1),0)</f>
        <v>0</v>
      </c>
      <c r="BE25" s="22">
        <f>IF(AND(BE8&gt;=Inputs!$S$87,BE8&lt;=Inputs!$S$93),1/(Inputs!$S$93-Inputs!$S$87+1),0)</f>
        <v>0</v>
      </c>
      <c r="BF25" s="22">
        <f>IF(AND(BF8&gt;=Inputs!$S$87,BF8&lt;=Inputs!$S$93),1/(Inputs!$S$93-Inputs!$S$87+1),0)</f>
        <v>0</v>
      </c>
      <c r="BG25" s="22">
        <f>IF(AND(BG8&gt;=Inputs!$S$87,BG8&lt;=Inputs!$S$93),1/(Inputs!$S$93-Inputs!$S$87+1),0)</f>
        <v>0</v>
      </c>
      <c r="BH25" s="22">
        <f>IF(AND(BH8&gt;=Inputs!$S$87,BH8&lt;=Inputs!$S$93),1/(Inputs!$S$93-Inputs!$S$87+1),0)</f>
        <v>0</v>
      </c>
      <c r="BI25" s="22">
        <f>IF(AND(BI8&gt;=Inputs!$S$87,BI8&lt;=Inputs!$S$93),1/(Inputs!$S$93-Inputs!$S$87+1),0)</f>
        <v>0</v>
      </c>
      <c r="BJ25" s="22">
        <f>IF(AND(BJ8&gt;=Inputs!$S$87,BJ8&lt;=Inputs!$S$93),1/(Inputs!$S$93-Inputs!$S$87+1),0)</f>
        <v>0</v>
      </c>
      <c r="BK25" s="22">
        <f>IF(AND(BK8&gt;=Inputs!$S$87,BK8&lt;=Inputs!$S$93),1/(Inputs!$S$93-Inputs!$S$87+1),0)</f>
        <v>0</v>
      </c>
    </row>
    <row r="26" spans="1:63" s="5" customFormat="1">
      <c r="A26" s="13" t="s">
        <v>211</v>
      </c>
      <c r="B26" s="23">
        <f>SUM(C26:BK26)</f>
        <v>-4020000.0000000019</v>
      </c>
      <c r="C26" s="26">
        <f>-C25*Inputs!$S$46</f>
        <v>-148888.88888888888</v>
      </c>
      <c r="D26" s="26">
        <f>-D25*Inputs!$S$46</f>
        <v>-148888.88888888888</v>
      </c>
      <c r="E26" s="26">
        <f>-E25*Inputs!$S$46</f>
        <v>-148888.88888888888</v>
      </c>
      <c r="F26" s="26">
        <f>-F25*Inputs!$S$46</f>
        <v>-148888.88888888888</v>
      </c>
      <c r="G26" s="26">
        <f>-G25*Inputs!$S$46</f>
        <v>-148888.88888888888</v>
      </c>
      <c r="H26" s="26">
        <f>-H25*Inputs!$S$46</f>
        <v>-148888.88888888888</v>
      </c>
      <c r="I26" s="26">
        <f>-I25*Inputs!$S$46</f>
        <v>-148888.88888888888</v>
      </c>
      <c r="J26" s="26">
        <f>-J25*Inputs!$S$46</f>
        <v>-148888.88888888888</v>
      </c>
      <c r="K26" s="26">
        <f>-K25*Inputs!$S$46</f>
        <v>-148888.88888888888</v>
      </c>
      <c r="L26" s="26">
        <f>-L25*Inputs!$S$46</f>
        <v>-148888.88888888888</v>
      </c>
      <c r="M26" s="26">
        <f>-M25*Inputs!$S$46</f>
        <v>-148888.88888888888</v>
      </c>
      <c r="N26" s="26">
        <f>-N25*Inputs!$S$46</f>
        <v>-148888.88888888888</v>
      </c>
      <c r="O26" s="26">
        <f>-O25*Inputs!$S$46</f>
        <v>-148888.88888888888</v>
      </c>
      <c r="P26" s="26">
        <f>-P25*Inputs!$S$46</f>
        <v>-148888.88888888888</v>
      </c>
      <c r="Q26" s="26">
        <f>-Q25*Inputs!$S$46</f>
        <v>-148888.88888888888</v>
      </c>
      <c r="R26" s="26">
        <f>-R25*Inputs!$S$46</f>
        <v>-148888.88888888888</v>
      </c>
      <c r="S26" s="26">
        <f>-S25*Inputs!$S$46</f>
        <v>-148888.88888888888</v>
      </c>
      <c r="T26" s="26">
        <f>-T25*Inputs!$S$46</f>
        <v>-148888.88888888888</v>
      </c>
      <c r="U26" s="26">
        <f>-U25*Inputs!$S$46</f>
        <v>-148888.88888888888</v>
      </c>
      <c r="V26" s="26">
        <f>-V25*Inputs!$S$46</f>
        <v>-148888.88888888888</v>
      </c>
      <c r="W26" s="26">
        <f>-W25*Inputs!$S$46</f>
        <v>-148888.88888888888</v>
      </c>
      <c r="X26" s="26">
        <f>-X25*Inputs!$S$46</f>
        <v>-148888.88888888888</v>
      </c>
      <c r="Y26" s="26">
        <f>-Y25*Inputs!$S$46</f>
        <v>-148888.88888888888</v>
      </c>
      <c r="Z26" s="26">
        <f>-Z25*Inputs!$S$46</f>
        <v>-148888.88888888888</v>
      </c>
      <c r="AA26" s="26">
        <f>-AA25*Inputs!$S$46</f>
        <v>-148888.88888888888</v>
      </c>
      <c r="AB26" s="26">
        <f>-AB25*Inputs!$S$46</f>
        <v>-148888.88888888888</v>
      </c>
      <c r="AC26" s="26">
        <f>-AC25*Inputs!$S$46</f>
        <v>-148888.88888888888</v>
      </c>
      <c r="AD26" s="26">
        <f>-AD25*Inputs!$S$46</f>
        <v>0</v>
      </c>
      <c r="AE26" s="26">
        <f>-AE25*Inputs!$S$46</f>
        <v>0</v>
      </c>
      <c r="AF26" s="26">
        <f>-AF25*Inputs!$S$46</f>
        <v>0</v>
      </c>
      <c r="AG26" s="26">
        <f>-AG25*Inputs!$S$46</f>
        <v>0</v>
      </c>
      <c r="AH26" s="26">
        <f>-AH25*Inputs!$S$46</f>
        <v>0</v>
      </c>
      <c r="AI26" s="26">
        <f>-AI25*Inputs!$S$46</f>
        <v>0</v>
      </c>
      <c r="AJ26" s="26">
        <f>-AJ25*Inputs!$S$46</f>
        <v>0</v>
      </c>
      <c r="AK26" s="26">
        <f>-AK25*Inputs!$S$46</f>
        <v>0</v>
      </c>
      <c r="AL26" s="26">
        <f>-AL25*Inputs!$S$46</f>
        <v>0</v>
      </c>
      <c r="AM26" s="26">
        <f>-AM25*Inputs!$S$46</f>
        <v>0</v>
      </c>
      <c r="AN26" s="26">
        <f>-AN25*Inputs!$S$46</f>
        <v>0</v>
      </c>
      <c r="AO26" s="26">
        <f>-AO25*Inputs!$S$46</f>
        <v>0</v>
      </c>
      <c r="AP26" s="26">
        <f>-AP25*Inputs!$S$46</f>
        <v>0</v>
      </c>
      <c r="AQ26" s="26">
        <f>-AQ25*Inputs!$S$46</f>
        <v>0</v>
      </c>
      <c r="AR26" s="26">
        <f>-AR25*Inputs!$S$46</f>
        <v>0</v>
      </c>
      <c r="AS26" s="26">
        <f>-AS25*Inputs!$S$46</f>
        <v>0</v>
      </c>
      <c r="AT26" s="26">
        <f>-AT25*Inputs!$S$46</f>
        <v>0</v>
      </c>
      <c r="AU26" s="26">
        <f>-AU25*Inputs!$S$46</f>
        <v>0</v>
      </c>
      <c r="AV26" s="26">
        <f>-AV25*Inputs!$S$46</f>
        <v>0</v>
      </c>
      <c r="AW26" s="26">
        <f>-AW25*Inputs!$S$46</f>
        <v>0</v>
      </c>
      <c r="AX26" s="26">
        <f>-AX25*Inputs!$S$46</f>
        <v>0</v>
      </c>
      <c r="AY26" s="26">
        <f>-AY25*Inputs!$S$46</f>
        <v>0</v>
      </c>
      <c r="AZ26" s="26">
        <f>-AZ25*Inputs!$S$46</f>
        <v>0</v>
      </c>
      <c r="BA26" s="26">
        <f>-BA25*Inputs!$S$46</f>
        <v>0</v>
      </c>
      <c r="BB26" s="26">
        <f>-BB25*Inputs!$S$46</f>
        <v>0</v>
      </c>
      <c r="BC26" s="26">
        <f>-BC25*Inputs!$S$46</f>
        <v>0</v>
      </c>
      <c r="BD26" s="26">
        <f>-BD25*Inputs!$S$46</f>
        <v>0</v>
      </c>
      <c r="BE26" s="26">
        <f>-BE25*Inputs!$S$46</f>
        <v>0</v>
      </c>
      <c r="BF26" s="26">
        <f>-BF25*Inputs!$S$46</f>
        <v>0</v>
      </c>
      <c r="BG26" s="26">
        <f>-BG25*Inputs!$S$46</f>
        <v>0</v>
      </c>
      <c r="BH26" s="26">
        <f>-BH25*Inputs!$S$46</f>
        <v>0</v>
      </c>
      <c r="BI26" s="26">
        <f>-BI25*Inputs!$S$46</f>
        <v>0</v>
      </c>
      <c r="BJ26" s="26">
        <f>-BJ25*Inputs!$S$46</f>
        <v>0</v>
      </c>
      <c r="BK26" s="26">
        <f>-BK25*Inputs!$S$46</f>
        <v>0</v>
      </c>
    </row>
    <row r="27" spans="1:63" s="5" customFormat="1">
      <c r="A27" s="11"/>
      <c r="B27" s="25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</row>
    <row r="28" spans="1:63" s="5" customFormat="1">
      <c r="A28" s="5" t="s">
        <v>31</v>
      </c>
      <c r="B28" s="25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</row>
    <row r="29" spans="1:63" s="5" customFormat="1">
      <c r="A29" s="11" t="s">
        <v>160</v>
      </c>
      <c r="B29" s="49">
        <f ca="1">SUM(C29:XFD29)</f>
        <v>-284990.55767120695</v>
      </c>
      <c r="C29" s="15">
        <f ca="1">-Inputs!S50</f>
        <v>-284990.60849929764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</row>
    <row r="30" spans="1:63" s="98" customFormat="1">
      <c r="A30" s="11" t="s">
        <v>212</v>
      </c>
      <c r="B30" s="49">
        <f ca="1">SUM(C30:BK30)</f>
        <v>-1318058.9305240291</v>
      </c>
      <c r="C30" s="21">
        <f t="shared" ref="C30:BK30" ca="1" si="7">IF(C65=0,C49,0)</f>
        <v>0</v>
      </c>
      <c r="D30" s="21">
        <f t="shared" ca="1" si="7"/>
        <v>0</v>
      </c>
      <c r="E30" s="21">
        <f t="shared" ca="1" si="7"/>
        <v>0</v>
      </c>
      <c r="F30" s="21">
        <f t="shared" ca="1" si="7"/>
        <v>0</v>
      </c>
      <c r="G30" s="21">
        <f t="shared" ca="1" si="7"/>
        <v>0</v>
      </c>
      <c r="H30" s="21">
        <f t="shared" ca="1" si="7"/>
        <v>0</v>
      </c>
      <c r="I30" s="21">
        <f t="shared" ca="1" si="7"/>
        <v>0</v>
      </c>
      <c r="J30" s="21">
        <f t="shared" ca="1" si="7"/>
        <v>0</v>
      </c>
      <c r="K30" s="21">
        <f t="shared" ca="1" si="7"/>
        <v>0</v>
      </c>
      <c r="L30" s="21">
        <f t="shared" ca="1" si="7"/>
        <v>0</v>
      </c>
      <c r="M30" s="21">
        <f t="shared" ca="1" si="7"/>
        <v>0</v>
      </c>
      <c r="N30" s="21">
        <f t="shared" ca="1" si="7"/>
        <v>0</v>
      </c>
      <c r="O30" s="21">
        <f t="shared" ca="1" si="7"/>
        <v>0</v>
      </c>
      <c r="P30" s="21">
        <f t="shared" ca="1" si="7"/>
        <v>-6510.3072528453667</v>
      </c>
      <c r="Q30" s="21">
        <f t="shared" ca="1" si="7"/>
        <v>-19633.800662549231</v>
      </c>
      <c r="R30" s="21">
        <f t="shared" ca="1" si="7"/>
        <v>-32845.371070845213</v>
      </c>
      <c r="S30" s="21">
        <f t="shared" ca="1" si="7"/>
        <v>-46145.60959961827</v>
      </c>
      <c r="T30" s="21">
        <f t="shared" ca="1" si="7"/>
        <v>-59535.111338011069</v>
      </c>
      <c r="U30" s="21">
        <f t="shared" ca="1" si="7"/>
        <v>-73014.475369049891</v>
      </c>
      <c r="V30" s="21">
        <f t="shared" ca="1" si="7"/>
        <v>-86584.304796449258</v>
      </c>
      <c r="W30" s="21">
        <f t="shared" ca="1" si="7"/>
        <v>-100245.20677159632</v>
      </c>
      <c r="X30" s="21">
        <f t="shared" ca="1" si="7"/>
        <v>-113997.79252071654</v>
      </c>
      <c r="Y30" s="21">
        <f t="shared" ca="1" si="7"/>
        <v>-127842.67737222149</v>
      </c>
      <c r="Z30" s="21">
        <f t="shared" ca="1" si="7"/>
        <v>-141780.48078424038</v>
      </c>
      <c r="AA30" s="21">
        <f t="shared" ca="1" si="7"/>
        <v>-155811.82637233631</v>
      </c>
      <c r="AB30" s="21">
        <f t="shared" ca="1" si="7"/>
        <v>-169937.34193740835</v>
      </c>
      <c r="AC30" s="21">
        <f t="shared" ca="1" si="7"/>
        <v>-184157.65949378119</v>
      </c>
      <c r="AD30" s="21">
        <f t="shared" si="7"/>
        <v>0</v>
      </c>
      <c r="AE30" s="21">
        <f t="shared" si="7"/>
        <v>0</v>
      </c>
      <c r="AF30" s="21">
        <f t="shared" si="7"/>
        <v>0</v>
      </c>
      <c r="AG30" s="21">
        <f t="shared" si="7"/>
        <v>0</v>
      </c>
      <c r="AH30" s="21">
        <f t="shared" si="7"/>
        <v>0</v>
      </c>
      <c r="AI30" s="21">
        <f t="shared" si="7"/>
        <v>0</v>
      </c>
      <c r="AJ30" s="21">
        <f t="shared" si="7"/>
        <v>0</v>
      </c>
      <c r="AK30" s="21">
        <f t="shared" si="7"/>
        <v>0</v>
      </c>
      <c r="AL30" s="21">
        <f t="shared" si="7"/>
        <v>0</v>
      </c>
      <c r="AM30" s="21">
        <f t="shared" si="7"/>
        <v>0</v>
      </c>
      <c r="AN30" s="21">
        <f t="shared" si="7"/>
        <v>0</v>
      </c>
      <c r="AO30" s="21">
        <f t="shared" si="7"/>
        <v>0</v>
      </c>
      <c r="AP30" s="21">
        <f t="shared" si="7"/>
        <v>0</v>
      </c>
      <c r="AQ30" s="21">
        <f t="shared" si="7"/>
        <v>0</v>
      </c>
      <c r="AR30" s="21">
        <f t="shared" si="7"/>
        <v>0</v>
      </c>
      <c r="AS30" s="21">
        <f t="shared" si="7"/>
        <v>0</v>
      </c>
      <c r="AT30" s="21">
        <f t="shared" si="7"/>
        <v>0</v>
      </c>
      <c r="AU30" s="21">
        <f t="shared" si="7"/>
        <v>0</v>
      </c>
      <c r="AV30" s="21">
        <f t="shared" si="7"/>
        <v>0</v>
      </c>
      <c r="AW30" s="21">
        <f t="shared" si="7"/>
        <v>0</v>
      </c>
      <c r="AX30" s="21">
        <f t="shared" si="7"/>
        <v>0</v>
      </c>
      <c r="AY30" s="21">
        <f t="shared" si="7"/>
        <v>0</v>
      </c>
      <c r="AZ30" s="21">
        <f t="shared" si="7"/>
        <v>0</v>
      </c>
      <c r="BA30" s="21">
        <f t="shared" si="7"/>
        <v>0</v>
      </c>
      <c r="BB30" s="21">
        <f t="shared" si="7"/>
        <v>0</v>
      </c>
      <c r="BC30" s="21">
        <f t="shared" si="7"/>
        <v>0</v>
      </c>
      <c r="BD30" s="21">
        <f t="shared" si="7"/>
        <v>0</v>
      </c>
      <c r="BE30" s="21">
        <f t="shared" si="7"/>
        <v>0</v>
      </c>
      <c r="BF30" s="21">
        <f t="shared" si="7"/>
        <v>0</v>
      </c>
      <c r="BG30" s="21">
        <f t="shared" si="7"/>
        <v>0</v>
      </c>
      <c r="BH30" s="21">
        <f t="shared" si="7"/>
        <v>0</v>
      </c>
      <c r="BI30" s="21">
        <f t="shared" si="7"/>
        <v>0</v>
      </c>
      <c r="BJ30" s="21">
        <f t="shared" si="7"/>
        <v>0</v>
      </c>
      <c r="BK30" s="21">
        <f t="shared" si="7"/>
        <v>0</v>
      </c>
    </row>
    <row r="31" spans="1:63" s="98" customFormat="1">
      <c r="A31" s="11" t="s">
        <v>154</v>
      </c>
      <c r="B31" s="49">
        <f ca="1">SUM(C31:BK31)</f>
        <v>-875408.15981408744</v>
      </c>
      <c r="C31" s="21">
        <f>IF(C72&lt;0,C72,0)</f>
        <v>0</v>
      </c>
      <c r="D31" s="21">
        <f t="shared" ref="D31:BK31" si="8">IF(D72&lt;0,D72,0)</f>
        <v>0</v>
      </c>
      <c r="E31" s="21">
        <f t="shared" si="8"/>
        <v>0</v>
      </c>
      <c r="F31" s="21">
        <f t="shared" si="8"/>
        <v>0</v>
      </c>
      <c r="G31" s="21">
        <f t="shared" si="8"/>
        <v>0</v>
      </c>
      <c r="H31" s="21">
        <f t="shared" si="8"/>
        <v>0</v>
      </c>
      <c r="I31" s="21">
        <f t="shared" si="8"/>
        <v>0</v>
      </c>
      <c r="J31" s="21">
        <f>IF(J72&lt;0,J72,0)</f>
        <v>0</v>
      </c>
      <c r="K31" s="21">
        <f t="shared" si="8"/>
        <v>0</v>
      </c>
      <c r="L31" s="21">
        <f t="shared" si="8"/>
        <v>0</v>
      </c>
      <c r="M31" s="21">
        <f t="shared" si="8"/>
        <v>0</v>
      </c>
      <c r="N31" s="21">
        <f t="shared" si="8"/>
        <v>0</v>
      </c>
      <c r="O31" s="21">
        <f t="shared" si="8"/>
        <v>0</v>
      </c>
      <c r="P31" s="21">
        <f t="shared" si="8"/>
        <v>0</v>
      </c>
      <c r="Q31" s="21">
        <f t="shared" si="8"/>
        <v>0</v>
      </c>
      <c r="R31" s="21">
        <f t="shared" si="8"/>
        <v>0</v>
      </c>
      <c r="S31" s="21">
        <f t="shared" si="8"/>
        <v>0</v>
      </c>
      <c r="T31" s="21">
        <f t="shared" si="8"/>
        <v>0</v>
      </c>
      <c r="U31" s="21">
        <f t="shared" si="8"/>
        <v>0</v>
      </c>
      <c r="V31" s="21">
        <f t="shared" si="8"/>
        <v>0</v>
      </c>
      <c r="W31" s="21">
        <f t="shared" si="8"/>
        <v>0</v>
      </c>
      <c r="X31" s="21">
        <f t="shared" si="8"/>
        <v>0</v>
      </c>
      <c r="Y31" s="21">
        <f t="shared" si="8"/>
        <v>0</v>
      </c>
      <c r="Z31" s="21">
        <f t="shared" si="8"/>
        <v>0</v>
      </c>
      <c r="AA31" s="21">
        <f t="shared" si="8"/>
        <v>0</v>
      </c>
      <c r="AB31" s="21">
        <f t="shared" si="8"/>
        <v>0</v>
      </c>
      <c r="AC31" s="21">
        <f t="shared" si="8"/>
        <v>0</v>
      </c>
      <c r="AD31" s="21">
        <f t="shared" ca="1" si="8"/>
        <v>-166942.1006429077</v>
      </c>
      <c r="AE31" s="21">
        <f t="shared" ca="1" si="8"/>
        <v>-149611.00100412284</v>
      </c>
      <c r="AF31" s="21">
        <f t="shared" ca="1" si="8"/>
        <v>-132163.58513694355</v>
      </c>
      <c r="AG31" s="21">
        <f t="shared" ca="1" si="8"/>
        <v>-114599.07239658479</v>
      </c>
      <c r="AH31" s="21">
        <f t="shared" ca="1" si="8"/>
        <v>-96916.676899031736</v>
      </c>
      <c r="AI31" s="21">
        <f t="shared" ca="1" si="8"/>
        <v>-79115.607485876608</v>
      </c>
      <c r="AJ31" s="21">
        <f t="shared" ca="1" si="8"/>
        <v>-61195.067688920448</v>
      </c>
      <c r="AK31" s="21">
        <f t="shared" ca="1" si="8"/>
        <v>-43154.255694536871</v>
      </c>
      <c r="AL31" s="21">
        <f t="shared" ca="1" si="8"/>
        <v>-24992.364307796524</v>
      </c>
      <c r="AM31" s="21">
        <f t="shared" ca="1" si="8"/>
        <v>-6708.5809163513186</v>
      </c>
      <c r="AN31" s="21">
        <f t="shared" ca="1" si="8"/>
        <v>0</v>
      </c>
      <c r="AO31" s="21">
        <f t="shared" si="8"/>
        <v>0</v>
      </c>
      <c r="AP31" s="21">
        <f t="shared" si="8"/>
        <v>0</v>
      </c>
      <c r="AQ31" s="21">
        <f t="shared" si="8"/>
        <v>0</v>
      </c>
      <c r="AR31" s="21">
        <f t="shared" si="8"/>
        <v>0</v>
      </c>
      <c r="AS31" s="21">
        <f t="shared" si="8"/>
        <v>0</v>
      </c>
      <c r="AT31" s="21">
        <f t="shared" si="8"/>
        <v>0</v>
      </c>
      <c r="AU31" s="21">
        <f t="shared" si="8"/>
        <v>0</v>
      </c>
      <c r="AV31" s="21">
        <f t="shared" si="8"/>
        <v>0</v>
      </c>
      <c r="AW31" s="21">
        <f t="shared" si="8"/>
        <v>0</v>
      </c>
      <c r="AX31" s="21">
        <f t="shared" si="8"/>
        <v>0</v>
      </c>
      <c r="AY31" s="21">
        <f t="shared" si="8"/>
        <v>0</v>
      </c>
      <c r="AZ31" s="21">
        <f t="shared" si="8"/>
        <v>0</v>
      </c>
      <c r="BA31" s="21">
        <f t="shared" si="8"/>
        <v>0</v>
      </c>
      <c r="BB31" s="21">
        <f t="shared" si="8"/>
        <v>0</v>
      </c>
      <c r="BC31" s="21">
        <f t="shared" si="8"/>
        <v>0</v>
      </c>
      <c r="BD31" s="21">
        <f t="shared" si="8"/>
        <v>0</v>
      </c>
      <c r="BE31" s="21">
        <f t="shared" si="8"/>
        <v>0</v>
      </c>
      <c r="BF31" s="21">
        <f t="shared" si="8"/>
        <v>0</v>
      </c>
      <c r="BG31" s="21">
        <f t="shared" si="8"/>
        <v>0</v>
      </c>
      <c r="BH31" s="21">
        <f t="shared" si="8"/>
        <v>0</v>
      </c>
      <c r="BI31" s="21">
        <f t="shared" si="8"/>
        <v>0</v>
      </c>
      <c r="BJ31" s="21">
        <f t="shared" si="8"/>
        <v>0</v>
      </c>
      <c r="BK31" s="21">
        <f t="shared" si="8"/>
        <v>0</v>
      </c>
    </row>
    <row r="32" spans="1:63" s="5" customFormat="1">
      <c r="A32" s="13" t="s">
        <v>213</v>
      </c>
      <c r="B32" s="23">
        <f ca="1">SUM(C32:BK32)</f>
        <v>-2478457.6480093235</v>
      </c>
      <c r="C32" s="26">
        <f ca="1">SUM(C29:C31)</f>
        <v>-284990.60849929764</v>
      </c>
      <c r="D32" s="26">
        <f t="shared" ref="D32:BK32" ca="1" si="9">SUM(D29:D31)</f>
        <v>0</v>
      </c>
      <c r="E32" s="26">
        <f t="shared" ca="1" si="9"/>
        <v>0</v>
      </c>
      <c r="F32" s="26">
        <f t="shared" ca="1" si="9"/>
        <v>0</v>
      </c>
      <c r="G32" s="26">
        <f t="shared" ca="1" si="9"/>
        <v>0</v>
      </c>
      <c r="H32" s="26">
        <f t="shared" ca="1" si="9"/>
        <v>0</v>
      </c>
      <c r="I32" s="26">
        <f t="shared" ca="1" si="9"/>
        <v>0</v>
      </c>
      <c r="J32" s="26">
        <f t="shared" ca="1" si="9"/>
        <v>0</v>
      </c>
      <c r="K32" s="26">
        <f t="shared" ca="1" si="9"/>
        <v>0</v>
      </c>
      <c r="L32" s="26">
        <f t="shared" ca="1" si="9"/>
        <v>0</v>
      </c>
      <c r="M32" s="26">
        <f t="shared" ca="1" si="9"/>
        <v>0</v>
      </c>
      <c r="N32" s="26">
        <f t="shared" ca="1" si="9"/>
        <v>0</v>
      </c>
      <c r="O32" s="26">
        <f t="shared" ca="1" si="9"/>
        <v>0</v>
      </c>
      <c r="P32" s="26">
        <f t="shared" ca="1" si="9"/>
        <v>-6510.3072528453667</v>
      </c>
      <c r="Q32" s="26">
        <f t="shared" ca="1" si="9"/>
        <v>-19633.800662549231</v>
      </c>
      <c r="R32" s="26">
        <f t="shared" ca="1" si="9"/>
        <v>-32845.371070845213</v>
      </c>
      <c r="S32" s="26">
        <f t="shared" ca="1" si="9"/>
        <v>-46145.60959961827</v>
      </c>
      <c r="T32" s="26">
        <f t="shared" ca="1" si="9"/>
        <v>-59535.111338011069</v>
      </c>
      <c r="U32" s="26">
        <f t="shared" ca="1" si="9"/>
        <v>-73014.475369049891</v>
      </c>
      <c r="V32" s="26">
        <f t="shared" ca="1" si="9"/>
        <v>-86584.304796449258</v>
      </c>
      <c r="W32" s="26">
        <f t="shared" ca="1" si="9"/>
        <v>-100245.20677159632</v>
      </c>
      <c r="X32" s="26">
        <f t="shared" ca="1" si="9"/>
        <v>-113997.79252071654</v>
      </c>
      <c r="Y32" s="26">
        <f t="shared" ca="1" si="9"/>
        <v>-127842.67737222149</v>
      </c>
      <c r="Z32" s="26">
        <f t="shared" ca="1" si="9"/>
        <v>-141780.48078424038</v>
      </c>
      <c r="AA32" s="26">
        <f t="shared" ca="1" si="9"/>
        <v>-155811.82637233631</v>
      </c>
      <c r="AB32" s="26">
        <f t="shared" ca="1" si="9"/>
        <v>-169937.34193740835</v>
      </c>
      <c r="AC32" s="26">
        <f t="shared" ca="1" si="9"/>
        <v>-184157.65949378119</v>
      </c>
      <c r="AD32" s="26">
        <f t="shared" ca="1" si="9"/>
        <v>-166942.1006429077</v>
      </c>
      <c r="AE32" s="26">
        <f t="shared" ca="1" si="9"/>
        <v>-149611.00100412284</v>
      </c>
      <c r="AF32" s="26">
        <f t="shared" ca="1" si="9"/>
        <v>-132163.58513694355</v>
      </c>
      <c r="AG32" s="26">
        <f t="shared" ca="1" si="9"/>
        <v>-114599.07239658479</v>
      </c>
      <c r="AH32" s="26">
        <f t="shared" ca="1" si="9"/>
        <v>-96916.676899031736</v>
      </c>
      <c r="AI32" s="26">
        <f t="shared" ca="1" si="9"/>
        <v>-79115.607485876608</v>
      </c>
      <c r="AJ32" s="26">
        <f t="shared" ca="1" si="9"/>
        <v>-61195.067688920448</v>
      </c>
      <c r="AK32" s="26">
        <f t="shared" ca="1" si="9"/>
        <v>-43154.255694536871</v>
      </c>
      <c r="AL32" s="26">
        <f t="shared" ca="1" si="9"/>
        <v>-24992.364307796524</v>
      </c>
      <c r="AM32" s="26">
        <f t="shared" ca="1" si="9"/>
        <v>-6708.5809163513186</v>
      </c>
      <c r="AN32" s="26">
        <f t="shared" ca="1" si="9"/>
        <v>0</v>
      </c>
      <c r="AO32" s="26">
        <f t="shared" si="9"/>
        <v>0</v>
      </c>
      <c r="AP32" s="26">
        <f t="shared" si="9"/>
        <v>0</v>
      </c>
      <c r="AQ32" s="26">
        <f t="shared" si="9"/>
        <v>0</v>
      </c>
      <c r="AR32" s="26">
        <f t="shared" si="9"/>
        <v>0</v>
      </c>
      <c r="AS32" s="26">
        <f t="shared" si="9"/>
        <v>0</v>
      </c>
      <c r="AT32" s="26">
        <f t="shared" si="9"/>
        <v>0</v>
      </c>
      <c r="AU32" s="26">
        <f t="shared" si="9"/>
        <v>0</v>
      </c>
      <c r="AV32" s="26">
        <f t="shared" si="9"/>
        <v>0</v>
      </c>
      <c r="AW32" s="26">
        <f t="shared" si="9"/>
        <v>0</v>
      </c>
      <c r="AX32" s="26">
        <f t="shared" si="9"/>
        <v>0</v>
      </c>
      <c r="AY32" s="26">
        <f t="shared" si="9"/>
        <v>0</v>
      </c>
      <c r="AZ32" s="26">
        <f t="shared" si="9"/>
        <v>0</v>
      </c>
      <c r="BA32" s="26">
        <f t="shared" si="9"/>
        <v>0</v>
      </c>
      <c r="BB32" s="26">
        <f t="shared" si="9"/>
        <v>0</v>
      </c>
      <c r="BC32" s="26">
        <f t="shared" si="9"/>
        <v>0</v>
      </c>
      <c r="BD32" s="26">
        <f t="shared" si="9"/>
        <v>0</v>
      </c>
      <c r="BE32" s="26">
        <f t="shared" si="9"/>
        <v>0</v>
      </c>
      <c r="BF32" s="26">
        <f t="shared" si="9"/>
        <v>0</v>
      </c>
      <c r="BG32" s="26">
        <f t="shared" si="9"/>
        <v>0</v>
      </c>
      <c r="BH32" s="26">
        <f t="shared" si="9"/>
        <v>0</v>
      </c>
      <c r="BI32" s="26">
        <f t="shared" si="9"/>
        <v>0</v>
      </c>
      <c r="BJ32" s="26">
        <f t="shared" si="9"/>
        <v>0</v>
      </c>
      <c r="BK32" s="26">
        <f t="shared" si="9"/>
        <v>0</v>
      </c>
    </row>
    <row r="33" spans="1:63" s="5" customFormat="1">
      <c r="A33" s="11"/>
      <c r="B33" s="25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</row>
    <row r="34" spans="1:63" s="5" customFormat="1" ht="16" thickBot="1">
      <c r="A34" s="14" t="s">
        <v>214</v>
      </c>
      <c r="B34" s="27">
        <f ca="1">SUM(C34:BK34)</f>
        <v>-47498457.648009345</v>
      </c>
      <c r="C34" s="28">
        <f ca="1">C26+C22+C15+C32</f>
        <v>-5433879.4973881869</v>
      </c>
      <c r="D34" s="28">
        <f t="shared" ref="D34:BK34" ca="1" si="10">D26+D22+D15+D32</f>
        <v>-148888.88888888888</v>
      </c>
      <c r="E34" s="28">
        <f t="shared" ca="1" si="10"/>
        <v>-148888.88888888888</v>
      </c>
      <c r="F34" s="28">
        <f t="shared" ca="1" si="10"/>
        <v>-148888.88888888888</v>
      </c>
      <c r="G34" s="28">
        <f t="shared" ca="1" si="10"/>
        <v>-148888.88888888888</v>
      </c>
      <c r="H34" s="28">
        <f t="shared" ca="1" si="10"/>
        <v>-148888.88888888888</v>
      </c>
      <c r="I34" s="28">
        <f t="shared" ca="1" si="10"/>
        <v>-148888.88888888888</v>
      </c>
      <c r="J34" s="28">
        <f t="shared" ca="1" si="10"/>
        <v>-1948888.888888889</v>
      </c>
      <c r="K34" s="28">
        <f t="shared" ca="1" si="10"/>
        <v>-1948888.888888889</v>
      </c>
      <c r="L34" s="28">
        <f t="shared" ca="1" si="10"/>
        <v>-1948888.888888889</v>
      </c>
      <c r="M34" s="28">
        <f t="shared" ca="1" si="10"/>
        <v>-1948888.888888889</v>
      </c>
      <c r="N34" s="28">
        <f t="shared" ca="1" si="10"/>
        <v>-1948888.888888889</v>
      </c>
      <c r="O34" s="28">
        <f t="shared" ca="1" si="10"/>
        <v>-1948888.888888889</v>
      </c>
      <c r="P34" s="28">
        <f t="shared" ca="1" si="10"/>
        <v>-1955399.1961417343</v>
      </c>
      <c r="Q34" s="28">
        <f t="shared" ca="1" si="10"/>
        <v>-1968522.6895514382</v>
      </c>
      <c r="R34" s="28">
        <f t="shared" ca="1" si="10"/>
        <v>-1981734.2599597343</v>
      </c>
      <c r="S34" s="28">
        <f t="shared" ca="1" si="10"/>
        <v>-1995034.4984885072</v>
      </c>
      <c r="T34" s="28">
        <f t="shared" ca="1" si="10"/>
        <v>-2008424.0002269</v>
      </c>
      <c r="U34" s="28">
        <f t="shared" ca="1" si="10"/>
        <v>-2021903.3642579389</v>
      </c>
      <c r="V34" s="28">
        <f t="shared" ca="1" si="10"/>
        <v>-2035473.1936853384</v>
      </c>
      <c r="W34" s="28">
        <f t="shared" ca="1" si="10"/>
        <v>-2049134.0956604853</v>
      </c>
      <c r="X34" s="28">
        <f t="shared" ca="1" si="10"/>
        <v>-2062886.6814096055</v>
      </c>
      <c r="Y34" s="28">
        <f t="shared" ca="1" si="10"/>
        <v>-2076731.5662611104</v>
      </c>
      <c r="Z34" s="28">
        <f t="shared" ca="1" si="10"/>
        <v>-2090669.3696731294</v>
      </c>
      <c r="AA34" s="28">
        <f t="shared" ca="1" si="10"/>
        <v>-2104700.7152612251</v>
      </c>
      <c r="AB34" s="28">
        <f t="shared" ca="1" si="10"/>
        <v>-2118826.2308262973</v>
      </c>
      <c r="AC34" s="28">
        <f t="shared" ca="1" si="10"/>
        <v>-2133046.5483826702</v>
      </c>
      <c r="AD34" s="28">
        <f t="shared" ca="1" si="10"/>
        <v>-166942.1006429077</v>
      </c>
      <c r="AE34" s="28">
        <f t="shared" ca="1" si="10"/>
        <v>-149611.00100412284</v>
      </c>
      <c r="AF34" s="28">
        <f t="shared" ca="1" si="10"/>
        <v>-132163.58513694355</v>
      </c>
      <c r="AG34" s="28">
        <f t="shared" ca="1" si="10"/>
        <v>-114599.07239658479</v>
      </c>
      <c r="AH34" s="28">
        <f t="shared" ca="1" si="10"/>
        <v>-96916.676899031736</v>
      </c>
      <c r="AI34" s="28">
        <f t="shared" ca="1" si="10"/>
        <v>-79115.607485876608</v>
      </c>
      <c r="AJ34" s="28">
        <f t="shared" ca="1" si="10"/>
        <v>-61195.067688920448</v>
      </c>
      <c r="AK34" s="28">
        <f t="shared" ca="1" si="10"/>
        <v>-43154.255694536871</v>
      </c>
      <c r="AL34" s="28">
        <f t="shared" ca="1" si="10"/>
        <v>-24992.364307796524</v>
      </c>
      <c r="AM34" s="28">
        <f t="shared" ca="1" si="10"/>
        <v>-6708.5809163513186</v>
      </c>
      <c r="AN34" s="28">
        <f t="shared" ca="1" si="10"/>
        <v>0</v>
      </c>
      <c r="AO34" s="28">
        <f t="shared" si="10"/>
        <v>0</v>
      </c>
      <c r="AP34" s="28">
        <f t="shared" si="10"/>
        <v>0</v>
      </c>
      <c r="AQ34" s="28">
        <f t="shared" si="10"/>
        <v>0</v>
      </c>
      <c r="AR34" s="28">
        <f t="shared" si="10"/>
        <v>0</v>
      </c>
      <c r="AS34" s="28">
        <f t="shared" si="10"/>
        <v>0</v>
      </c>
      <c r="AT34" s="28">
        <f t="shared" si="10"/>
        <v>0</v>
      </c>
      <c r="AU34" s="28">
        <f t="shared" si="10"/>
        <v>0</v>
      </c>
      <c r="AV34" s="28">
        <f t="shared" si="10"/>
        <v>0</v>
      </c>
      <c r="AW34" s="28">
        <f t="shared" si="10"/>
        <v>0</v>
      </c>
      <c r="AX34" s="28">
        <f t="shared" si="10"/>
        <v>0</v>
      </c>
      <c r="AY34" s="28">
        <f t="shared" si="10"/>
        <v>0</v>
      </c>
      <c r="AZ34" s="28">
        <f t="shared" si="10"/>
        <v>0</v>
      </c>
      <c r="BA34" s="28">
        <f t="shared" si="10"/>
        <v>0</v>
      </c>
      <c r="BB34" s="28">
        <f t="shared" si="10"/>
        <v>0</v>
      </c>
      <c r="BC34" s="28">
        <f t="shared" si="10"/>
        <v>0</v>
      </c>
      <c r="BD34" s="28">
        <f t="shared" si="10"/>
        <v>0</v>
      </c>
      <c r="BE34" s="28">
        <f t="shared" si="10"/>
        <v>0</v>
      </c>
      <c r="BF34" s="28">
        <f t="shared" si="10"/>
        <v>0</v>
      </c>
      <c r="BG34" s="28">
        <f t="shared" si="10"/>
        <v>0</v>
      </c>
      <c r="BH34" s="28">
        <f t="shared" si="10"/>
        <v>0</v>
      </c>
      <c r="BI34" s="28">
        <f t="shared" si="10"/>
        <v>0</v>
      </c>
      <c r="BJ34" s="28">
        <f t="shared" si="10"/>
        <v>0</v>
      </c>
      <c r="BK34" s="28">
        <f t="shared" si="10"/>
        <v>0</v>
      </c>
    </row>
    <row r="35" spans="1:63">
      <c r="A35" s="12" t="s">
        <v>215</v>
      </c>
      <c r="B35" s="24">
        <f ca="1">Inputs!S78</f>
        <v>47498388.905522764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</row>
    <row r="36" spans="1:63">
      <c r="A36" s="12"/>
      <c r="B36" s="24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</row>
    <row r="37" spans="1:63">
      <c r="A37" s="329" t="s">
        <v>216</v>
      </c>
      <c r="B37" s="329"/>
      <c r="C37" s="329"/>
      <c r="D37" s="329"/>
      <c r="E37" s="329"/>
      <c r="F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  <c r="AG37" s="329"/>
      <c r="AH37" s="329"/>
      <c r="AI37" s="329"/>
      <c r="AJ37" s="329"/>
      <c r="AK37" s="329"/>
      <c r="AL37" s="329"/>
      <c r="AM37" s="329"/>
      <c r="AN37" s="329"/>
      <c r="AO37" s="329"/>
      <c r="AP37" s="329"/>
      <c r="AQ37" s="329"/>
      <c r="AR37" s="329"/>
      <c r="AS37" s="329"/>
      <c r="AT37" s="329"/>
      <c r="AU37" s="329"/>
      <c r="AV37" s="329"/>
      <c r="AW37" s="329"/>
      <c r="AX37" s="329"/>
      <c r="AY37" s="329"/>
      <c r="AZ37" s="329"/>
      <c r="BA37" s="329"/>
      <c r="BB37" s="329"/>
      <c r="BC37" s="329"/>
      <c r="BD37" s="329"/>
      <c r="BE37" s="329"/>
      <c r="BF37" s="329"/>
      <c r="BG37" s="329"/>
      <c r="BH37" s="329"/>
      <c r="BI37" s="329"/>
      <c r="BJ37" s="329"/>
      <c r="BK37" s="329"/>
    </row>
    <row r="38" spans="1:63"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</row>
    <row r="39" spans="1:63">
      <c r="A39" s="5" t="s">
        <v>35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</row>
    <row r="40" spans="1:63">
      <c r="A40" s="11" t="s">
        <v>217</v>
      </c>
      <c r="C40" s="29">
        <f ca="1">Inputs!S82</f>
        <v>18999304.36196674</v>
      </c>
      <c r="D40" s="17">
        <f t="shared" ref="D40:BB40" ca="1" si="11">C42</f>
        <v>13565533.942770179</v>
      </c>
      <c r="E40" s="17">
        <f t="shared" ca="1" si="11"/>
        <v>13416610.587902751</v>
      </c>
      <c r="F40" s="17">
        <f t="shared" ca="1" si="11"/>
        <v>13267707.29798748</v>
      </c>
      <c r="G40" s="17">
        <f t="shared" ca="1" si="11"/>
        <v>13118829.438784003</v>
      </c>
      <c r="H40" s="17">
        <f t="shared" ca="1" si="11"/>
        <v>12969937.754119957</v>
      </c>
      <c r="I40" s="17">
        <f t="shared" ca="1" si="11"/>
        <v>12821054.404084139</v>
      </c>
      <c r="J40" s="17">
        <f t="shared" ca="1" si="11"/>
        <v>12672168.264441893</v>
      </c>
      <c r="K40" s="17">
        <f t="shared" ca="1" si="11"/>
        <v>10723255.334867701</v>
      </c>
      <c r="L40" s="17">
        <f t="shared" ca="1" si="11"/>
        <v>8774405.820265159</v>
      </c>
      <c r="M40" s="17">
        <f t="shared" ca="1" si="11"/>
        <v>6825479.2135269856</v>
      </c>
      <c r="N40" s="17">
        <f t="shared" ca="1" si="11"/>
        <v>4876536.5515982565</v>
      </c>
      <c r="O40" s="17">
        <f t="shared" ca="1" si="11"/>
        <v>2927762.2620225595</v>
      </c>
      <c r="P40" s="17">
        <f t="shared" ca="1" si="11"/>
        <v>978812.16854023561</v>
      </c>
      <c r="Q40" s="17">
        <f t="shared" ca="1" si="11"/>
        <v>0</v>
      </c>
      <c r="R40" s="17">
        <f t="shared" ca="1" si="11"/>
        <v>0</v>
      </c>
      <c r="S40" s="17">
        <f t="shared" ca="1" si="11"/>
        <v>0</v>
      </c>
      <c r="T40" s="17">
        <f t="shared" ca="1" si="11"/>
        <v>0</v>
      </c>
      <c r="U40" s="17">
        <f t="shared" ca="1" si="11"/>
        <v>0</v>
      </c>
      <c r="V40" s="17">
        <f t="shared" ca="1" si="11"/>
        <v>0</v>
      </c>
      <c r="W40" s="17">
        <f t="shared" ca="1" si="11"/>
        <v>0</v>
      </c>
      <c r="X40" s="17">
        <f t="shared" ca="1" si="11"/>
        <v>0</v>
      </c>
      <c r="Y40" s="17">
        <f t="shared" ca="1" si="11"/>
        <v>0</v>
      </c>
      <c r="Z40" s="17">
        <f t="shared" ca="1" si="11"/>
        <v>0</v>
      </c>
      <c r="AA40" s="17">
        <f t="shared" ca="1" si="11"/>
        <v>0</v>
      </c>
      <c r="AB40" s="17">
        <f t="shared" ca="1" si="11"/>
        <v>0</v>
      </c>
      <c r="AC40" s="17">
        <f t="shared" ca="1" si="11"/>
        <v>0</v>
      </c>
      <c r="AD40" s="17">
        <f t="shared" ca="1" si="11"/>
        <v>0</v>
      </c>
      <c r="AE40" s="17">
        <f t="shared" ca="1" si="11"/>
        <v>0</v>
      </c>
      <c r="AF40" s="17">
        <f t="shared" ca="1" si="11"/>
        <v>0</v>
      </c>
      <c r="AG40" s="17">
        <f t="shared" ca="1" si="11"/>
        <v>0</v>
      </c>
      <c r="AH40" s="17">
        <f t="shared" ca="1" si="11"/>
        <v>0</v>
      </c>
      <c r="AI40" s="17">
        <f t="shared" ca="1" si="11"/>
        <v>0</v>
      </c>
      <c r="AJ40" s="17">
        <f t="shared" ca="1" si="11"/>
        <v>0</v>
      </c>
      <c r="AK40" s="17">
        <f t="shared" ca="1" si="11"/>
        <v>0</v>
      </c>
      <c r="AL40" s="17">
        <f t="shared" ca="1" si="11"/>
        <v>0</v>
      </c>
      <c r="AM40" s="17">
        <f t="shared" ca="1" si="11"/>
        <v>0</v>
      </c>
      <c r="AN40" s="17">
        <f t="shared" ca="1" si="11"/>
        <v>0</v>
      </c>
      <c r="AO40" s="17">
        <f t="shared" ca="1" si="11"/>
        <v>0</v>
      </c>
      <c r="AP40" s="17">
        <f t="shared" ca="1" si="11"/>
        <v>0</v>
      </c>
      <c r="AQ40" s="17">
        <f t="shared" ca="1" si="11"/>
        <v>0</v>
      </c>
      <c r="AR40" s="17">
        <f t="shared" ca="1" si="11"/>
        <v>0</v>
      </c>
      <c r="AS40" s="17">
        <f t="shared" ca="1" si="11"/>
        <v>0</v>
      </c>
      <c r="AT40" s="17">
        <f t="shared" ca="1" si="11"/>
        <v>0</v>
      </c>
      <c r="AU40" s="17">
        <f t="shared" ca="1" si="11"/>
        <v>0</v>
      </c>
      <c r="AV40" s="17">
        <f t="shared" ca="1" si="11"/>
        <v>0</v>
      </c>
      <c r="AW40" s="17">
        <f t="shared" ca="1" si="11"/>
        <v>0</v>
      </c>
      <c r="AX40" s="17">
        <f t="shared" ca="1" si="11"/>
        <v>0</v>
      </c>
      <c r="AY40" s="17">
        <f t="shared" ca="1" si="11"/>
        <v>0</v>
      </c>
      <c r="AZ40" s="17">
        <f t="shared" ca="1" si="11"/>
        <v>0</v>
      </c>
      <c r="BA40" s="17">
        <f t="shared" ca="1" si="11"/>
        <v>0</v>
      </c>
      <c r="BB40" s="17">
        <f t="shared" ca="1" si="11"/>
        <v>0</v>
      </c>
      <c r="BC40" s="17">
        <f t="shared" ref="BC40" ca="1" si="12">BB42</f>
        <v>0</v>
      </c>
      <c r="BD40" s="17">
        <f t="shared" ref="BD40" ca="1" si="13">BC42</f>
        <v>0</v>
      </c>
      <c r="BE40" s="17">
        <f t="shared" ref="BE40" ca="1" si="14">BD42</f>
        <v>0</v>
      </c>
      <c r="BF40" s="17">
        <f t="shared" ref="BF40" ca="1" si="15">BE42</f>
        <v>0</v>
      </c>
      <c r="BG40" s="17">
        <f t="shared" ref="BG40" ca="1" si="16">BF42</f>
        <v>0</v>
      </c>
      <c r="BH40" s="17">
        <f t="shared" ref="BH40" ca="1" si="17">BG42</f>
        <v>0</v>
      </c>
      <c r="BI40" s="17">
        <f t="shared" ref="BI40" ca="1" si="18">BH42</f>
        <v>0</v>
      </c>
      <c r="BJ40" s="17">
        <f t="shared" ref="BJ40" ca="1" si="19">BI42</f>
        <v>0</v>
      </c>
      <c r="BK40" s="17">
        <f t="shared" ref="BK40" ca="1" si="20">BJ42</f>
        <v>0</v>
      </c>
    </row>
    <row r="41" spans="1:63">
      <c r="A41" s="11" t="s">
        <v>218</v>
      </c>
      <c r="B41" s="30">
        <f ca="1">SUM(C41:BK41)</f>
        <v>-18999400.564128056</v>
      </c>
      <c r="C41" s="17">
        <f t="shared" ref="C41:BB41" ca="1" si="21">IF(-C34&gt;C40,-C40,C34)</f>
        <v>-5433879.4973881869</v>
      </c>
      <c r="D41" s="17">
        <f t="shared" ca="1" si="21"/>
        <v>-148888.88888888888</v>
      </c>
      <c r="E41" s="17">
        <f t="shared" ca="1" si="21"/>
        <v>-148888.88888888888</v>
      </c>
      <c r="F41" s="17">
        <f t="shared" ca="1" si="21"/>
        <v>-148888.88888888888</v>
      </c>
      <c r="G41" s="17">
        <f t="shared" ca="1" si="21"/>
        <v>-148888.88888888888</v>
      </c>
      <c r="H41" s="17">
        <f t="shared" ca="1" si="21"/>
        <v>-148888.88888888888</v>
      </c>
      <c r="I41" s="17">
        <f t="shared" ca="1" si="21"/>
        <v>-148888.88888888888</v>
      </c>
      <c r="J41" s="17">
        <f t="shared" ca="1" si="21"/>
        <v>-1948888.888888889</v>
      </c>
      <c r="K41" s="17">
        <f t="shared" ca="1" si="21"/>
        <v>-1948888.888888889</v>
      </c>
      <c r="L41" s="17">
        <f t="shared" ca="1" si="21"/>
        <v>-1948888.888888889</v>
      </c>
      <c r="M41" s="17">
        <f t="shared" ca="1" si="21"/>
        <v>-1948888.888888889</v>
      </c>
      <c r="N41" s="17">
        <f t="shared" ca="1" si="21"/>
        <v>-1948888.888888889</v>
      </c>
      <c r="O41" s="17">
        <f t="shared" ca="1" si="21"/>
        <v>-1948888.888888889</v>
      </c>
      <c r="P41" s="17">
        <f t="shared" ca="1" si="21"/>
        <v>-978812.16854023561</v>
      </c>
      <c r="Q41" s="17">
        <f t="shared" ca="1" si="21"/>
        <v>0</v>
      </c>
      <c r="R41" s="17">
        <f t="shared" ca="1" si="21"/>
        <v>0</v>
      </c>
      <c r="S41" s="17">
        <f t="shared" ca="1" si="21"/>
        <v>0</v>
      </c>
      <c r="T41" s="17">
        <f t="shared" ca="1" si="21"/>
        <v>0</v>
      </c>
      <c r="U41" s="17">
        <f t="shared" ca="1" si="21"/>
        <v>0</v>
      </c>
      <c r="V41" s="17">
        <f t="shared" ca="1" si="21"/>
        <v>0</v>
      </c>
      <c r="W41" s="17">
        <f t="shared" ca="1" si="21"/>
        <v>0</v>
      </c>
      <c r="X41" s="17">
        <f t="shared" ca="1" si="21"/>
        <v>0</v>
      </c>
      <c r="Y41" s="17">
        <f t="shared" ca="1" si="21"/>
        <v>0</v>
      </c>
      <c r="Z41" s="17">
        <f t="shared" ca="1" si="21"/>
        <v>0</v>
      </c>
      <c r="AA41" s="17">
        <f t="shared" ca="1" si="21"/>
        <v>0</v>
      </c>
      <c r="AB41" s="17">
        <f t="shared" ca="1" si="21"/>
        <v>0</v>
      </c>
      <c r="AC41" s="17">
        <f t="shared" ca="1" si="21"/>
        <v>0</v>
      </c>
      <c r="AD41" s="17">
        <f t="shared" ca="1" si="21"/>
        <v>0</v>
      </c>
      <c r="AE41" s="17">
        <f t="shared" ca="1" si="21"/>
        <v>0</v>
      </c>
      <c r="AF41" s="17">
        <f t="shared" ca="1" si="21"/>
        <v>0</v>
      </c>
      <c r="AG41" s="17">
        <f t="shared" ca="1" si="21"/>
        <v>0</v>
      </c>
      <c r="AH41" s="17">
        <f t="shared" ca="1" si="21"/>
        <v>0</v>
      </c>
      <c r="AI41" s="17">
        <f t="shared" ca="1" si="21"/>
        <v>0</v>
      </c>
      <c r="AJ41" s="17">
        <f t="shared" ca="1" si="21"/>
        <v>0</v>
      </c>
      <c r="AK41" s="17">
        <f t="shared" ca="1" si="21"/>
        <v>0</v>
      </c>
      <c r="AL41" s="17">
        <f t="shared" ca="1" si="21"/>
        <v>0</v>
      </c>
      <c r="AM41" s="17">
        <f t="shared" ca="1" si="21"/>
        <v>0</v>
      </c>
      <c r="AN41" s="17">
        <f t="shared" ca="1" si="21"/>
        <v>0</v>
      </c>
      <c r="AO41" s="17">
        <f t="shared" ca="1" si="21"/>
        <v>0</v>
      </c>
      <c r="AP41" s="17">
        <f t="shared" ca="1" si="21"/>
        <v>0</v>
      </c>
      <c r="AQ41" s="17">
        <f t="shared" ca="1" si="21"/>
        <v>0</v>
      </c>
      <c r="AR41" s="17">
        <f t="shared" ca="1" si="21"/>
        <v>0</v>
      </c>
      <c r="AS41" s="17">
        <f t="shared" ca="1" si="21"/>
        <v>0</v>
      </c>
      <c r="AT41" s="17">
        <f t="shared" ca="1" si="21"/>
        <v>0</v>
      </c>
      <c r="AU41" s="17">
        <f t="shared" ca="1" si="21"/>
        <v>0</v>
      </c>
      <c r="AV41" s="17">
        <f t="shared" ca="1" si="21"/>
        <v>0</v>
      </c>
      <c r="AW41" s="17">
        <f t="shared" ca="1" si="21"/>
        <v>0</v>
      </c>
      <c r="AX41" s="17">
        <f t="shared" ca="1" si="21"/>
        <v>0</v>
      </c>
      <c r="AY41" s="17">
        <f t="shared" ca="1" si="21"/>
        <v>0</v>
      </c>
      <c r="AZ41" s="17">
        <f t="shared" ca="1" si="21"/>
        <v>0</v>
      </c>
      <c r="BA41" s="17">
        <f t="shared" ca="1" si="21"/>
        <v>0</v>
      </c>
      <c r="BB41" s="17">
        <f t="shared" ca="1" si="21"/>
        <v>0</v>
      </c>
      <c r="BC41" s="17">
        <f t="shared" ref="BC41:BK41" ca="1" si="22">IF(-BC34&gt;BC40,-BC40,BC34)</f>
        <v>0</v>
      </c>
      <c r="BD41" s="17">
        <f t="shared" ca="1" si="22"/>
        <v>0</v>
      </c>
      <c r="BE41" s="17">
        <f t="shared" ca="1" si="22"/>
        <v>0</v>
      </c>
      <c r="BF41" s="17">
        <f t="shared" ca="1" si="22"/>
        <v>0</v>
      </c>
      <c r="BG41" s="17">
        <f t="shared" ca="1" si="22"/>
        <v>0</v>
      </c>
      <c r="BH41" s="17">
        <f t="shared" ca="1" si="22"/>
        <v>0</v>
      </c>
      <c r="BI41" s="17">
        <f t="shared" ca="1" si="22"/>
        <v>0</v>
      </c>
      <c r="BJ41" s="17">
        <f t="shared" ca="1" si="22"/>
        <v>0</v>
      </c>
      <c r="BK41" s="17">
        <f t="shared" ca="1" si="22"/>
        <v>0</v>
      </c>
    </row>
    <row r="42" spans="1:63">
      <c r="A42" s="11" t="s">
        <v>219</v>
      </c>
      <c r="C42" s="17">
        <f t="shared" ref="C42:AH42" ca="1" si="23">SUM(C40:C41)</f>
        <v>13565424.864578553</v>
      </c>
      <c r="D42" s="17">
        <f t="shared" ca="1" si="23"/>
        <v>13416645.053881291</v>
      </c>
      <c r="E42" s="17">
        <f t="shared" ca="1" si="23"/>
        <v>13267721.699013863</v>
      </c>
      <c r="F42" s="17">
        <f t="shared" ca="1" si="23"/>
        <v>13118818.409098592</v>
      </c>
      <c r="G42" s="17">
        <f t="shared" ca="1" si="23"/>
        <v>12969940.549895115</v>
      </c>
      <c r="H42" s="17">
        <f t="shared" ca="1" si="23"/>
        <v>12821048.865231069</v>
      </c>
      <c r="I42" s="17">
        <f t="shared" ca="1" si="23"/>
        <v>12672165.515195251</v>
      </c>
      <c r="J42" s="17">
        <f t="shared" ca="1" si="23"/>
        <v>10723279.375553004</v>
      </c>
      <c r="K42" s="17">
        <f t="shared" ca="1" si="23"/>
        <v>8774366.4459788129</v>
      </c>
      <c r="L42" s="17">
        <f t="shared" ca="1" si="23"/>
        <v>6825516.93137627</v>
      </c>
      <c r="M42" s="17">
        <f t="shared" ca="1" si="23"/>
        <v>4876590.3246380966</v>
      </c>
      <c r="N42" s="17">
        <f t="shared" ca="1" si="23"/>
        <v>2927647.6627093675</v>
      </c>
      <c r="O42" s="17">
        <f t="shared" ca="1" si="23"/>
        <v>978873.37313367054</v>
      </c>
      <c r="P42" s="17">
        <f t="shared" ca="1" si="23"/>
        <v>0</v>
      </c>
      <c r="Q42" s="17">
        <f t="shared" ca="1" si="23"/>
        <v>0</v>
      </c>
      <c r="R42" s="17">
        <f t="shared" ca="1" si="23"/>
        <v>0</v>
      </c>
      <c r="S42" s="17">
        <f t="shared" ca="1" si="23"/>
        <v>0</v>
      </c>
      <c r="T42" s="17">
        <f t="shared" ca="1" si="23"/>
        <v>0</v>
      </c>
      <c r="U42" s="17">
        <f t="shared" ca="1" si="23"/>
        <v>0</v>
      </c>
      <c r="V42" s="17">
        <f t="shared" ca="1" si="23"/>
        <v>0</v>
      </c>
      <c r="W42" s="17">
        <f t="shared" ca="1" si="23"/>
        <v>0</v>
      </c>
      <c r="X42" s="17">
        <f t="shared" ca="1" si="23"/>
        <v>0</v>
      </c>
      <c r="Y42" s="17">
        <f t="shared" ca="1" si="23"/>
        <v>0</v>
      </c>
      <c r="Z42" s="17">
        <f t="shared" ca="1" si="23"/>
        <v>0</v>
      </c>
      <c r="AA42" s="17">
        <f t="shared" ca="1" si="23"/>
        <v>0</v>
      </c>
      <c r="AB42" s="17">
        <f t="shared" ca="1" si="23"/>
        <v>0</v>
      </c>
      <c r="AC42" s="17">
        <f t="shared" ca="1" si="23"/>
        <v>0</v>
      </c>
      <c r="AD42" s="17">
        <f t="shared" ca="1" si="23"/>
        <v>0</v>
      </c>
      <c r="AE42" s="17">
        <f t="shared" ca="1" si="23"/>
        <v>0</v>
      </c>
      <c r="AF42" s="17">
        <f t="shared" ca="1" si="23"/>
        <v>0</v>
      </c>
      <c r="AG42" s="17">
        <f t="shared" ca="1" si="23"/>
        <v>0</v>
      </c>
      <c r="AH42" s="17">
        <f t="shared" ca="1" si="23"/>
        <v>0</v>
      </c>
      <c r="AI42" s="17">
        <f t="shared" ref="AI42:BB42" ca="1" si="24">SUM(AI40:AI41)</f>
        <v>0</v>
      </c>
      <c r="AJ42" s="17">
        <f t="shared" ca="1" si="24"/>
        <v>0</v>
      </c>
      <c r="AK42" s="17">
        <f t="shared" ca="1" si="24"/>
        <v>0</v>
      </c>
      <c r="AL42" s="17">
        <f t="shared" ca="1" si="24"/>
        <v>0</v>
      </c>
      <c r="AM42" s="17">
        <f t="shared" ca="1" si="24"/>
        <v>0</v>
      </c>
      <c r="AN42" s="17">
        <f t="shared" ca="1" si="24"/>
        <v>0</v>
      </c>
      <c r="AO42" s="17">
        <f t="shared" ca="1" si="24"/>
        <v>0</v>
      </c>
      <c r="AP42" s="17">
        <f t="shared" ca="1" si="24"/>
        <v>0</v>
      </c>
      <c r="AQ42" s="17">
        <f t="shared" ca="1" si="24"/>
        <v>0</v>
      </c>
      <c r="AR42" s="17">
        <f t="shared" ca="1" si="24"/>
        <v>0</v>
      </c>
      <c r="AS42" s="17">
        <f t="shared" ca="1" si="24"/>
        <v>0</v>
      </c>
      <c r="AT42" s="17">
        <f t="shared" ca="1" si="24"/>
        <v>0</v>
      </c>
      <c r="AU42" s="17">
        <f t="shared" ca="1" si="24"/>
        <v>0</v>
      </c>
      <c r="AV42" s="17">
        <f t="shared" ca="1" si="24"/>
        <v>0</v>
      </c>
      <c r="AW42" s="17">
        <f t="shared" ca="1" si="24"/>
        <v>0</v>
      </c>
      <c r="AX42" s="17">
        <f t="shared" ca="1" si="24"/>
        <v>0</v>
      </c>
      <c r="AY42" s="17">
        <f t="shared" ca="1" si="24"/>
        <v>0</v>
      </c>
      <c r="AZ42" s="17">
        <f t="shared" ca="1" si="24"/>
        <v>0</v>
      </c>
      <c r="BA42" s="17">
        <f t="shared" ca="1" si="24"/>
        <v>0</v>
      </c>
      <c r="BB42" s="17">
        <f t="shared" ca="1" si="24"/>
        <v>0</v>
      </c>
      <c r="BC42" s="17">
        <f t="shared" ref="BC42:BK42" ca="1" si="25">SUM(BC40:BC41)</f>
        <v>0</v>
      </c>
      <c r="BD42" s="17">
        <f t="shared" ca="1" si="25"/>
        <v>0</v>
      </c>
      <c r="BE42" s="17">
        <f t="shared" ca="1" si="25"/>
        <v>0</v>
      </c>
      <c r="BF42" s="17">
        <f t="shared" ca="1" si="25"/>
        <v>0</v>
      </c>
      <c r="BG42" s="17">
        <f t="shared" ca="1" si="25"/>
        <v>0</v>
      </c>
      <c r="BH42" s="17">
        <f t="shared" ca="1" si="25"/>
        <v>0</v>
      </c>
      <c r="BI42" s="17">
        <f t="shared" ca="1" si="25"/>
        <v>0</v>
      </c>
      <c r="BJ42" s="17">
        <f t="shared" ca="1" si="25"/>
        <v>0</v>
      </c>
      <c r="BK42" s="17">
        <f t="shared" ca="1" si="25"/>
        <v>0</v>
      </c>
    </row>
    <row r="44" spans="1:63">
      <c r="A44" s="5" t="s">
        <v>220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</row>
    <row r="45" spans="1:63">
      <c r="A45" s="11" t="s">
        <v>221</v>
      </c>
      <c r="C45" s="29">
        <f ca="1">Inputs!S80</f>
        <v>28499084.543556023</v>
      </c>
      <c r="D45" s="17">
        <f ca="1">C47</f>
        <v>28499060.849929765</v>
      </c>
      <c r="E45" s="17">
        <f t="shared" ref="E45:BB45" ca="1" si="26">D47</f>
        <v>28499055.767120697</v>
      </c>
      <c r="F45" s="17">
        <f t="shared" ca="1" si="26"/>
        <v>28499061.708171871</v>
      </c>
      <c r="G45" s="17">
        <f t="shared" ca="1" si="26"/>
        <v>28499060.570847988</v>
      </c>
      <c r="H45" s="17">
        <f t="shared" ca="1" si="26"/>
        <v>28499061.509890668</v>
      </c>
      <c r="I45" s="17">
        <f t="shared" ca="1" si="26"/>
        <v>28499057.629158027</v>
      </c>
      <c r="J45" s="17">
        <f t="shared" ca="1" si="26"/>
        <v>28499048.3242287</v>
      </c>
      <c r="K45" s="17">
        <f t="shared" ca="1" si="26"/>
        <v>28499057.10372353</v>
      </c>
      <c r="L45" s="17">
        <f t="shared" ca="1" si="26"/>
        <v>28499032.401216365</v>
      </c>
      <c r="M45" s="17">
        <f t="shared" ca="1" si="26"/>
        <v>28499028.472436719</v>
      </c>
      <c r="N45" s="17">
        <f t="shared" ca="1" si="26"/>
        <v>28499076.05080229</v>
      </c>
      <c r="O45" s="17">
        <f t="shared" ca="1" si="26"/>
        <v>28499040.721621301</v>
      </c>
      <c r="P45" s="17">
        <f t="shared" ca="1" si="26"/>
        <v>28499043.435996164</v>
      </c>
      <c r="Q45" s="17">
        <f t="shared" ca="1" si="26"/>
        <v>27522458.17309545</v>
      </c>
      <c r="R45" s="17">
        <f t="shared" ca="1" si="26"/>
        <v>25553874.415779859</v>
      </c>
      <c r="S45" s="17">
        <f t="shared" ca="1" si="26"/>
        <v>23572372.850072037</v>
      </c>
      <c r="T45" s="17">
        <f ca="1">S47</f>
        <v>21576937.32070196</v>
      </c>
      <c r="U45" s="17">
        <f ca="1">T47</f>
        <v>19568769.414824001</v>
      </c>
      <c r="V45" s="17">
        <f t="shared" ca="1" si="26"/>
        <v>17546887.926424604</v>
      </c>
      <c r="W45" s="17">
        <f t="shared" ca="1" si="26"/>
        <v>15511354.790364802</v>
      </c>
      <c r="X45" s="17">
        <f t="shared" ca="1" si="26"/>
        <v>13462225.406849854</v>
      </c>
      <c r="Y45" s="17">
        <f t="shared" ca="1" si="26"/>
        <v>11399324.447352968</v>
      </c>
      <c r="Z45" s="17">
        <f t="shared" ca="1" si="26"/>
        <v>9322606.3371750396</v>
      </c>
      <c r="AA45" s="17">
        <f t="shared" ca="1" si="26"/>
        <v>7231957.7871908946</v>
      </c>
      <c r="AB45" s="17">
        <f t="shared" ca="1" si="26"/>
        <v>5127194.111164378</v>
      </c>
      <c r="AC45" s="17">
        <f t="shared" ca="1" si="26"/>
        <v>3008399.6420505759</v>
      </c>
      <c r="AD45" s="17">
        <f t="shared" ca="1" si="26"/>
        <v>875327.06941091688</v>
      </c>
      <c r="AE45" s="17">
        <f t="shared" ca="1" si="26"/>
        <v>708108.77419993235</v>
      </c>
      <c r="AF45" s="17">
        <f t="shared" ca="1" si="26"/>
        <v>558774.91189080279</v>
      </c>
      <c r="AG45" s="17">
        <f t="shared" ca="1" si="26"/>
        <v>426660.38754527934</v>
      </c>
      <c r="AH45" s="17">
        <f t="shared" ca="1" si="26"/>
        <v>312212.32167370257</v>
      </c>
      <c r="AI45" s="17">
        <f t="shared" ca="1" si="26"/>
        <v>214712.02641507777</v>
      </c>
      <c r="AJ45" s="17">
        <f t="shared" ca="1" si="26"/>
        <v>137354.85134338634</v>
      </c>
      <c r="AK45" s="17">
        <f t="shared" ca="1" si="26"/>
        <v>74666.742846406123</v>
      </c>
      <c r="AL45" s="17">
        <f t="shared" ca="1" si="26"/>
        <v>31679.108505654294</v>
      </c>
      <c r="AM45" s="17">
        <f t="shared" ca="1" si="26"/>
        <v>7132.3649082558986</v>
      </c>
      <c r="AN45" s="17">
        <f t="shared" ca="1" si="26"/>
        <v>434.528142844385</v>
      </c>
      <c r="AO45" s="17">
        <f t="shared" ca="1" si="26"/>
        <v>487.76785797229968</v>
      </c>
      <c r="AP45" s="17">
        <f t="shared" ca="1" si="26"/>
        <v>404.5294488350919</v>
      </c>
      <c r="AQ45" s="17">
        <f t="shared" ca="1" si="26"/>
        <v>367.36010491885827</v>
      </c>
      <c r="AR45" s="17">
        <f t="shared" ca="1" si="26"/>
        <v>514.27016808462213</v>
      </c>
      <c r="AS45" s="17">
        <f t="shared" ca="1" si="26"/>
        <v>363.96649227105081</v>
      </c>
      <c r="AT45" s="17">
        <f t="shared" ca="1" si="26"/>
        <v>154.38078261906048</v>
      </c>
      <c r="AU45" s="17">
        <f t="shared" ca="1" si="26"/>
        <v>60.700893217959674</v>
      </c>
      <c r="AV45" s="17">
        <f t="shared" ca="1" si="26"/>
        <v>0</v>
      </c>
      <c r="AW45" s="17">
        <f t="shared" ca="1" si="26"/>
        <v>0</v>
      </c>
      <c r="AX45" s="17">
        <f t="shared" ca="1" si="26"/>
        <v>0</v>
      </c>
      <c r="AY45" s="17">
        <f t="shared" ca="1" si="26"/>
        <v>0</v>
      </c>
      <c r="AZ45" s="17">
        <f t="shared" ca="1" si="26"/>
        <v>0</v>
      </c>
      <c r="BA45" s="17">
        <f t="shared" ca="1" si="26"/>
        <v>0</v>
      </c>
      <c r="BB45" s="17">
        <f t="shared" ca="1" si="26"/>
        <v>0</v>
      </c>
      <c r="BC45" s="17">
        <f t="shared" ref="BC45" ca="1" si="27">BB47</f>
        <v>0</v>
      </c>
      <c r="BD45" s="17">
        <f t="shared" ref="BD45" ca="1" si="28">BC47</f>
        <v>0</v>
      </c>
      <c r="BE45" s="17">
        <f t="shared" ref="BE45" ca="1" si="29">BD47</f>
        <v>0</v>
      </c>
      <c r="BF45" s="17">
        <f t="shared" ref="BF45" ca="1" si="30">BE47</f>
        <v>0</v>
      </c>
      <c r="BG45" s="17">
        <f t="shared" ref="BG45" ca="1" si="31">BF47</f>
        <v>0</v>
      </c>
      <c r="BH45" s="17">
        <f t="shared" ref="BH45" ca="1" si="32">BG47</f>
        <v>0</v>
      </c>
      <c r="BI45" s="17">
        <f t="shared" ref="BI45" ca="1" si="33">BH47</f>
        <v>0</v>
      </c>
      <c r="BJ45" s="17">
        <f t="shared" ref="BJ45" ca="1" si="34">BI47</f>
        <v>0</v>
      </c>
      <c r="BK45" s="17">
        <f t="shared" ref="BK45" ca="1" si="35">BJ47</f>
        <v>0</v>
      </c>
    </row>
    <row r="46" spans="1:63">
      <c r="A46" s="11" t="s">
        <v>222</v>
      </c>
      <c r="B46" s="30">
        <f ca="1">SUM(C46:BK46)</f>
        <v>-28499057.083881263</v>
      </c>
      <c r="C46" s="17">
        <f ca="1">IF(C42=0,-MIN(ABS(C34-C41),C45),0)</f>
        <v>0</v>
      </c>
      <c r="D46" s="17">
        <f t="shared" ref="D46:BB46" ca="1" si="36">IF(D42=0,-MIN(ABS(D34-D41),D45),0)</f>
        <v>0</v>
      </c>
      <c r="E46" s="17">
        <f t="shared" ca="1" si="36"/>
        <v>0</v>
      </c>
      <c r="F46" s="17">
        <f t="shared" ca="1" si="36"/>
        <v>0</v>
      </c>
      <c r="G46" s="17">
        <f t="shared" ca="1" si="36"/>
        <v>0</v>
      </c>
      <c r="H46" s="17">
        <f t="shared" ca="1" si="36"/>
        <v>0</v>
      </c>
      <c r="I46" s="17">
        <f t="shared" ca="1" si="36"/>
        <v>0</v>
      </c>
      <c r="J46" s="17">
        <f t="shared" ca="1" si="36"/>
        <v>0</v>
      </c>
      <c r="K46" s="17">
        <f t="shared" ca="1" si="36"/>
        <v>0</v>
      </c>
      <c r="L46" s="17">
        <f t="shared" ca="1" si="36"/>
        <v>0</v>
      </c>
      <c r="M46" s="17">
        <f t="shared" ca="1" si="36"/>
        <v>0</v>
      </c>
      <c r="N46" s="17">
        <f t="shared" ca="1" si="36"/>
        <v>0</v>
      </c>
      <c r="O46" s="17">
        <f t="shared" ca="1" si="36"/>
        <v>0</v>
      </c>
      <c r="P46" s="17">
        <f t="shared" ca="1" si="36"/>
        <v>-976587.02760149864</v>
      </c>
      <c r="Q46" s="17">
        <f t="shared" ca="1" si="36"/>
        <v>-1968522.6895514382</v>
      </c>
      <c r="R46" s="17">
        <f t="shared" ca="1" si="36"/>
        <v>-1981734.2599597343</v>
      </c>
      <c r="S46" s="17">
        <f t="shared" ca="1" si="36"/>
        <v>-1995034.4984885072</v>
      </c>
      <c r="T46" s="17">
        <f t="shared" ca="1" si="36"/>
        <v>-2008424.0002269</v>
      </c>
      <c r="U46" s="17">
        <f t="shared" ca="1" si="36"/>
        <v>-2021903.3642579389</v>
      </c>
      <c r="V46" s="17">
        <f t="shared" ca="1" si="36"/>
        <v>-2035473.1936853384</v>
      </c>
      <c r="W46" s="17">
        <f t="shared" ca="1" si="36"/>
        <v>-2049134.0956604853</v>
      </c>
      <c r="X46" s="17">
        <f t="shared" ca="1" si="36"/>
        <v>-2062886.6814096055</v>
      </c>
      <c r="Y46" s="17">
        <f t="shared" ca="1" si="36"/>
        <v>-2076731.5662611104</v>
      </c>
      <c r="Z46" s="17">
        <f t="shared" ca="1" si="36"/>
        <v>-2090669.3696731294</v>
      </c>
      <c r="AA46" s="17">
        <f t="shared" ca="1" si="36"/>
        <v>-2104700.7152612251</v>
      </c>
      <c r="AB46" s="17">
        <f t="shared" ca="1" si="36"/>
        <v>-2118826.2308262973</v>
      </c>
      <c r="AC46" s="17">
        <f t="shared" ca="1" si="36"/>
        <v>-2133046.5483826702</v>
      </c>
      <c r="AD46" s="17">
        <f t="shared" ca="1" si="36"/>
        <v>-166942.1006429077</v>
      </c>
      <c r="AE46" s="17">
        <f t="shared" ca="1" si="36"/>
        <v>-149611.00100412284</v>
      </c>
      <c r="AF46" s="17">
        <f t="shared" ca="1" si="36"/>
        <v>-132163.58513694355</v>
      </c>
      <c r="AG46" s="17">
        <f t="shared" ca="1" si="36"/>
        <v>-114599.07239658479</v>
      </c>
      <c r="AH46" s="17">
        <f t="shared" ca="1" si="36"/>
        <v>-96916.676899031736</v>
      </c>
      <c r="AI46" s="17">
        <f t="shared" ca="1" si="36"/>
        <v>-79115.607485876608</v>
      </c>
      <c r="AJ46" s="17">
        <f t="shared" ca="1" si="36"/>
        <v>-61195.067688920448</v>
      </c>
      <c r="AK46" s="17">
        <f t="shared" ca="1" si="36"/>
        <v>-43154.255694536871</v>
      </c>
      <c r="AL46" s="17">
        <f t="shared" ca="1" si="36"/>
        <v>-24992.364307796524</v>
      </c>
      <c r="AM46" s="17">
        <f t="shared" ca="1" si="36"/>
        <v>-6708.5809163513186</v>
      </c>
      <c r="AN46" s="17">
        <f t="shared" ca="1" si="36"/>
        <v>0</v>
      </c>
      <c r="AO46" s="17">
        <f t="shared" ca="1" si="36"/>
        <v>0</v>
      </c>
      <c r="AP46" s="17">
        <f t="shared" ca="1" si="36"/>
        <v>0</v>
      </c>
      <c r="AQ46" s="17">
        <f t="shared" ca="1" si="36"/>
        <v>0</v>
      </c>
      <c r="AR46" s="17">
        <f t="shared" ca="1" si="36"/>
        <v>0</v>
      </c>
      <c r="AS46" s="17">
        <f t="shared" ca="1" si="36"/>
        <v>0</v>
      </c>
      <c r="AT46" s="17">
        <f t="shared" ca="1" si="36"/>
        <v>0</v>
      </c>
      <c r="AU46" s="17">
        <f t="shared" ca="1" si="36"/>
        <v>0</v>
      </c>
      <c r="AV46" s="17">
        <f t="shared" ca="1" si="36"/>
        <v>0</v>
      </c>
      <c r="AW46" s="17">
        <f t="shared" ca="1" si="36"/>
        <v>0</v>
      </c>
      <c r="AX46" s="17">
        <f t="shared" ca="1" si="36"/>
        <v>0</v>
      </c>
      <c r="AY46" s="17">
        <f t="shared" ca="1" si="36"/>
        <v>0</v>
      </c>
      <c r="AZ46" s="17">
        <f t="shared" ca="1" si="36"/>
        <v>0</v>
      </c>
      <c r="BA46" s="17">
        <f t="shared" ca="1" si="36"/>
        <v>0</v>
      </c>
      <c r="BB46" s="17">
        <f t="shared" ca="1" si="36"/>
        <v>0</v>
      </c>
      <c r="BC46" s="17">
        <f t="shared" ref="BC46:BK46" ca="1" si="37">IF(BC42=0,-MIN(ABS(BC34-BC41),BC45),0)</f>
        <v>0</v>
      </c>
      <c r="BD46" s="17">
        <f t="shared" ca="1" si="37"/>
        <v>0</v>
      </c>
      <c r="BE46" s="17">
        <f t="shared" ca="1" si="37"/>
        <v>0</v>
      </c>
      <c r="BF46" s="17">
        <f t="shared" ca="1" si="37"/>
        <v>0</v>
      </c>
      <c r="BG46" s="17">
        <f t="shared" ca="1" si="37"/>
        <v>0</v>
      </c>
      <c r="BH46" s="17">
        <f t="shared" ca="1" si="37"/>
        <v>0</v>
      </c>
      <c r="BI46" s="17">
        <f t="shared" ca="1" si="37"/>
        <v>0</v>
      </c>
      <c r="BJ46" s="17">
        <f t="shared" ca="1" si="37"/>
        <v>0</v>
      </c>
      <c r="BK46" s="17">
        <f t="shared" ca="1" si="37"/>
        <v>0</v>
      </c>
    </row>
    <row r="47" spans="1:63">
      <c r="A47" s="11" t="s">
        <v>223</v>
      </c>
      <c r="C47" s="17">
        <f ca="1">SUM(C45:C46)</f>
        <v>28499084.543556023</v>
      </c>
      <c r="D47" s="17">
        <f t="shared" ref="D47:T47" ca="1" si="38">SUM(D45:D46)</f>
        <v>28499060.849929765</v>
      </c>
      <c r="E47" s="17">
        <f t="shared" ca="1" si="38"/>
        <v>28499055.767120697</v>
      </c>
      <c r="F47" s="17">
        <f t="shared" ca="1" si="38"/>
        <v>28499061.708171871</v>
      </c>
      <c r="G47" s="17">
        <f t="shared" ca="1" si="38"/>
        <v>28499060.570847988</v>
      </c>
      <c r="H47" s="17">
        <f t="shared" ca="1" si="38"/>
        <v>28499061.509890668</v>
      </c>
      <c r="I47" s="17">
        <f t="shared" ca="1" si="38"/>
        <v>28499057.629158027</v>
      </c>
      <c r="J47" s="17">
        <f t="shared" ca="1" si="38"/>
        <v>28499048.3242287</v>
      </c>
      <c r="K47" s="17">
        <f t="shared" ca="1" si="38"/>
        <v>28499057.10372353</v>
      </c>
      <c r="L47" s="17">
        <f t="shared" ca="1" si="38"/>
        <v>28499032.401216365</v>
      </c>
      <c r="M47" s="17">
        <f t="shared" ca="1" si="38"/>
        <v>28499028.472436719</v>
      </c>
      <c r="N47" s="17">
        <f t="shared" ca="1" si="38"/>
        <v>28499076.05080229</v>
      </c>
      <c r="O47" s="17">
        <f t="shared" ca="1" si="38"/>
        <v>28499040.721621301</v>
      </c>
      <c r="P47" s="17">
        <f t="shared" ca="1" si="38"/>
        <v>27522456.408394665</v>
      </c>
      <c r="Q47" s="17">
        <f t="shared" ca="1" si="38"/>
        <v>25553935.483544011</v>
      </c>
      <c r="R47" s="17">
        <f t="shared" ca="1" si="38"/>
        <v>23572140.155820124</v>
      </c>
      <c r="S47" s="17">
        <f ca="1">SUM(S45:S46)</f>
        <v>21577338.351583529</v>
      </c>
      <c r="T47" s="17">
        <f t="shared" ca="1" si="38"/>
        <v>19568513.32047506</v>
      </c>
      <c r="U47" s="17">
        <f ca="1">SUM(U45:U46)</f>
        <v>17546866.050566062</v>
      </c>
      <c r="V47" s="17">
        <f ca="1">SUM(V45:V46)</f>
        <v>15511414.732739266</v>
      </c>
      <c r="W47" s="17">
        <f ca="1">SUM(W45:W46)</f>
        <v>13462220.694704317</v>
      </c>
      <c r="X47" s="17">
        <f ca="1">SUM(X45:X46)</f>
        <v>11399338.725440249</v>
      </c>
      <c r="Y47" s="17">
        <f ca="1">SUM(Y45:Y46)</f>
        <v>9322592.8810918573</v>
      </c>
      <c r="Z47" s="17">
        <f t="shared" ref="Z47:BB47" ca="1" si="39">SUM(Z45:Z46)</f>
        <v>7231936.9675019104</v>
      </c>
      <c r="AA47" s="17">
        <f t="shared" ca="1" si="39"/>
        <v>5127257.071929669</v>
      </c>
      <c r="AB47" s="17">
        <f t="shared" ca="1" si="39"/>
        <v>3008367.8803380807</v>
      </c>
      <c r="AC47" s="17">
        <f t="shared" ca="1" si="39"/>
        <v>875353.09366790578</v>
      </c>
      <c r="AD47" s="17">
        <f t="shared" ca="1" si="39"/>
        <v>708384.96876800922</v>
      </c>
      <c r="AE47" s="17">
        <f t="shared" ca="1" si="39"/>
        <v>558497.77319580945</v>
      </c>
      <c r="AF47" s="17">
        <f t="shared" ca="1" si="39"/>
        <v>426611.32675385923</v>
      </c>
      <c r="AG47" s="17">
        <f t="shared" ca="1" si="39"/>
        <v>312061.31514869456</v>
      </c>
      <c r="AH47" s="17">
        <f t="shared" ca="1" si="39"/>
        <v>215295.64477467083</v>
      </c>
      <c r="AI47" s="17">
        <f t="shared" ca="1" si="39"/>
        <v>135596.41892920114</v>
      </c>
      <c r="AJ47" s="17">
        <f t="shared" ca="1" si="39"/>
        <v>76159.783654465893</v>
      </c>
      <c r="AK47" s="17">
        <f t="shared" ca="1" si="39"/>
        <v>31512.487151869253</v>
      </c>
      <c r="AL47" s="17">
        <f t="shared" ca="1" si="39"/>
        <v>6686.7441978577699</v>
      </c>
      <c r="AM47" s="17">
        <f t="shared" ca="1" si="39"/>
        <v>423.78399190458003</v>
      </c>
      <c r="AN47" s="17">
        <f t="shared" ca="1" si="39"/>
        <v>434.528142844385</v>
      </c>
      <c r="AO47" s="17">
        <f t="shared" ca="1" si="39"/>
        <v>487.76785797229968</v>
      </c>
      <c r="AP47" s="17">
        <f t="shared" ca="1" si="39"/>
        <v>404.5294488350919</v>
      </c>
      <c r="AQ47" s="17">
        <f t="shared" ca="1" si="39"/>
        <v>367.36010491885827</v>
      </c>
      <c r="AR47" s="17">
        <f t="shared" ca="1" si="39"/>
        <v>514.27016808462213</v>
      </c>
      <c r="AS47" s="17">
        <f t="shared" ca="1" si="39"/>
        <v>363.96649227105081</v>
      </c>
      <c r="AT47" s="17">
        <f t="shared" ca="1" si="39"/>
        <v>154.38078261906048</v>
      </c>
      <c r="AU47" s="17">
        <f t="shared" ca="1" si="39"/>
        <v>60.700893217959674</v>
      </c>
      <c r="AV47" s="17">
        <f t="shared" ca="1" si="39"/>
        <v>0</v>
      </c>
      <c r="AW47" s="17">
        <f t="shared" ca="1" si="39"/>
        <v>0</v>
      </c>
      <c r="AX47" s="17">
        <f t="shared" ca="1" si="39"/>
        <v>0</v>
      </c>
      <c r="AY47" s="17">
        <f t="shared" ca="1" si="39"/>
        <v>0</v>
      </c>
      <c r="AZ47" s="17">
        <f t="shared" ca="1" si="39"/>
        <v>0</v>
      </c>
      <c r="BA47" s="17">
        <f t="shared" ca="1" si="39"/>
        <v>0</v>
      </c>
      <c r="BB47" s="17">
        <f t="shared" ca="1" si="39"/>
        <v>0</v>
      </c>
      <c r="BC47" s="17">
        <f t="shared" ref="BC47:BK47" ca="1" si="40">SUM(BC45:BC46)</f>
        <v>0</v>
      </c>
      <c r="BD47" s="17">
        <f t="shared" ca="1" si="40"/>
        <v>0</v>
      </c>
      <c r="BE47" s="17">
        <f t="shared" ca="1" si="40"/>
        <v>0</v>
      </c>
      <c r="BF47" s="17">
        <f t="shared" ca="1" si="40"/>
        <v>0</v>
      </c>
      <c r="BG47" s="17">
        <f t="shared" ca="1" si="40"/>
        <v>0</v>
      </c>
      <c r="BH47" s="17">
        <f t="shared" ca="1" si="40"/>
        <v>0</v>
      </c>
      <c r="BI47" s="17">
        <f t="shared" ca="1" si="40"/>
        <v>0</v>
      </c>
      <c r="BJ47" s="17">
        <f t="shared" ca="1" si="40"/>
        <v>0</v>
      </c>
      <c r="BK47" s="17">
        <f t="shared" ca="1" si="40"/>
        <v>0</v>
      </c>
    </row>
    <row r="48" spans="1:63">
      <c r="A48" s="11" t="s">
        <v>224</v>
      </c>
      <c r="B48" s="31">
        <f>Inputs!S96</f>
        <v>38</v>
      </c>
      <c r="C48" s="104" t="s">
        <v>225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</row>
    <row r="49" spans="1:63">
      <c r="A49" s="11" t="s">
        <v>226</v>
      </c>
      <c r="B49" s="20">
        <f>Inputs!S61</f>
        <v>0.08</v>
      </c>
      <c r="C49" s="17">
        <f ca="1">IF(C8&gt;=$B$48,0,SUM($C46:C$46)*$B49/12)</f>
        <v>0</v>
      </c>
      <c r="D49" s="17">
        <f ca="1">IF(D8&gt;=$B$48,0,SUM($C46:D$46)*$B49/12)</f>
        <v>0</v>
      </c>
      <c r="E49" s="17">
        <f ca="1">IF(E8&gt;=$B$48,0,SUM($C46:E$46)*$B49/12)</f>
        <v>0</v>
      </c>
      <c r="F49" s="17">
        <f ca="1">IF(F8&gt;=$B$48,0,SUM($C46:F$46)*$B49/12)</f>
        <v>0</v>
      </c>
      <c r="G49" s="17">
        <f ca="1">IF(G8&gt;=$B$48,0,SUM($C46:G$46)*$B49/12)</f>
        <v>0</v>
      </c>
      <c r="H49" s="17">
        <f ca="1">IF(H8&gt;=$B$48,0,SUM($C46:H$46)*$B49/12)</f>
        <v>0</v>
      </c>
      <c r="I49" s="17">
        <f ca="1">IF(I8&gt;=$B$48,0,SUM($C46:I$46)*$B49/12)</f>
        <v>0</v>
      </c>
      <c r="J49" s="17">
        <f ca="1">IF(J8&gt;=$B$48,0,SUM($C46:J$46)*$B49/12)</f>
        <v>0</v>
      </c>
      <c r="K49" s="17">
        <f ca="1">IF(K8&gt;=$B$48,0,SUM($C46:K$46)*$B49/12)</f>
        <v>0</v>
      </c>
      <c r="L49" s="17">
        <f ca="1">IF(L8&gt;=$B$48,0,SUM($C46:L$46)*$B49/12)</f>
        <v>0</v>
      </c>
      <c r="M49" s="17">
        <f ca="1">IF(M8&gt;=$B$48,0,SUM($C46:M$46)*$B49/12)</f>
        <v>0</v>
      </c>
      <c r="N49" s="17">
        <f ca="1">IF(N8&gt;=$B$48,0,SUM($C46:N$46)*$B49/12)</f>
        <v>0</v>
      </c>
      <c r="O49" s="17">
        <f ca="1">IF(O8&gt;=$B$48,0,SUM($C46:O$46)*$B49/12)</f>
        <v>0</v>
      </c>
      <c r="P49" s="17">
        <f ca="1">IF(P8&gt;=$B$48,0,SUM($C46:P$46)*$B49/12)</f>
        <v>-6510.5801840099912</v>
      </c>
      <c r="Q49" s="17">
        <f ca="1">IF(Q8&gt;=$B$48,0,SUM($C46:Q$46)*$B49/12)</f>
        <v>-19634.064781019581</v>
      </c>
      <c r="R49" s="17">
        <f ca="1">IF(R8&gt;=$B$48,0,SUM($C46:R$46)*$B49/12)</f>
        <v>-32845.626514084477</v>
      </c>
      <c r="S49" s="17">
        <f ca="1">IF(S8&gt;=$B$48,0,SUM($C46:S$46)*$B49/12)</f>
        <v>-46145.856504007854</v>
      </c>
      <c r="T49" s="17">
        <f ca="1">IF(T8&gt;=$B$48,0,SUM($C46:T$46)*$B49/12)</f>
        <v>-59535.34983885385</v>
      </c>
      <c r="U49" s="17">
        <f ca="1">IF(U8&gt;=$B$48,0,SUM($C46:U$46)*$B49/12)</f>
        <v>-73014.705600573448</v>
      </c>
      <c r="V49" s="17">
        <f ca="1">IF(V8&gt;=$B$48,0,SUM($C46:V$46)*$B49/12)</f>
        <v>-86584.52689180903</v>
      </c>
      <c r="W49" s="17">
        <f ca="1">IF(W8&gt;=$B$48,0,SUM($C46:W$46)*$B49/12)</f>
        <v>-100245.42086287895</v>
      </c>
      <c r="X49" s="17">
        <f ca="1">IF(X8&gt;=$B$48,0,SUM($C46:X$46)*$B49/12)</f>
        <v>-113997.99873894296</v>
      </c>
      <c r="Y49" s="17">
        <f ca="1">IF(Y8&gt;=$B$48,0,SUM($C46:Y$46)*$B49/12)</f>
        <v>-127842.87584735035</v>
      </c>
      <c r="Z49" s="17">
        <f ca="1">IF(Z8&gt;=$B$48,0,SUM($C46:Z$46)*$B49/12)</f>
        <v>-141780.67164517121</v>
      </c>
      <c r="AA49" s="17">
        <f ca="1">IF(AA8&gt;=$B$48,0,SUM($C46:AA$46)*$B49/12)</f>
        <v>-155812.00974691272</v>
      </c>
      <c r="AB49" s="17">
        <f ca="1">IF(AB8&gt;=$B$48,0,SUM($C46:AB$46)*$B49/12)</f>
        <v>-169937.51795242136</v>
      </c>
      <c r="AC49" s="17">
        <f ca="1">IF(AC8&gt;=$B$48,0,SUM($C46:AC$46)*$B49/12)</f>
        <v>-184157.8282749725</v>
      </c>
      <c r="AD49" s="17">
        <f ca="1">IF(AD8&gt;=$B$48,0,SUM($C46:AD$46)*$B49/12)</f>
        <v>-185270.77561259188</v>
      </c>
      <c r="AE49" s="17">
        <f ca="1">IF(AE8&gt;=$B$48,0,SUM($C46:AE$46)*$B49/12)</f>
        <v>-186268.1822859527</v>
      </c>
      <c r="AF49" s="17">
        <f ca="1">IF(AF8&gt;=$B$48,0,SUM($C46:AF$46)*$B49/12)</f>
        <v>-187149.27285353231</v>
      </c>
      <c r="AG49" s="17">
        <f ca="1">IF(AG8&gt;=$B$48,0,SUM($C46:AG$46)*$B49/12)</f>
        <v>-187913.26666950955</v>
      </c>
      <c r="AH49" s="17">
        <f ca="1">IF(AH8&gt;=$B$48,0,SUM($C46:AH$46)*$B49/12)</f>
        <v>-188559.37784883639</v>
      </c>
      <c r="AI49" s="17">
        <f ca="1">IF(AI8&gt;=$B$48,0,SUM($C46:AI$46)*$B49/12)</f>
        <v>-189086.81523207561</v>
      </c>
      <c r="AJ49" s="17">
        <f ca="1">IF(AJ8&gt;=$B$48,0,SUM($C46:AJ$46)*$B49/12)</f>
        <v>-189494.78235000171</v>
      </c>
      <c r="AK49" s="17">
        <f ca="1">IF(AK8&gt;=$B$48,0,SUM($C46:AK$46)*$B49/12)</f>
        <v>-189782.47738796531</v>
      </c>
      <c r="AL49" s="17">
        <f ca="1">IF(AL8&gt;=$B$48,0,SUM($C46:AL$46)*$B49/12)</f>
        <v>-189949.09315001729</v>
      </c>
      <c r="AM49" s="17">
        <f ca="1">IF(AM8&gt;=$B$48,0,SUM($C46:AM$46)*$B49/12)</f>
        <v>-189993.81702279297</v>
      </c>
      <c r="AN49" s="17">
        <f ca="1">IF(AN8&gt;=$B$48,0,SUM($C46:AN$46)*$B49/12)</f>
        <v>-189993.81702279297</v>
      </c>
      <c r="AO49" s="17">
        <f>IF(AO8&gt;=$B$48,0,SUM($C46:AO$46)*$B49/12)</f>
        <v>0</v>
      </c>
      <c r="AP49" s="17">
        <f>IF(AP8&gt;=$B$48,0,SUM($C46:AP$46)*$B49/12)</f>
        <v>0</v>
      </c>
      <c r="AQ49" s="17">
        <f>IF(AQ8&gt;=$B$48,0,SUM($C46:AQ$46)*$B49/12)</f>
        <v>0</v>
      </c>
      <c r="AR49" s="17">
        <f>IF(AR8&gt;=$B$48,0,SUM($C46:AR$46)*$B49/12)</f>
        <v>0</v>
      </c>
      <c r="AS49" s="17">
        <f>IF(AS8&gt;=$B$48,0,SUM($C46:AS$46)*$B49/12)</f>
        <v>0</v>
      </c>
      <c r="AT49" s="17">
        <f>IF(AT8&gt;=$B$48,0,SUM($C46:AT$46)*$B49/12)</f>
        <v>0</v>
      </c>
      <c r="AU49" s="17">
        <f>IF(AU8&gt;=$B$48,0,SUM($C46:AU$46)*$B49/12)</f>
        <v>0</v>
      </c>
      <c r="AV49" s="17">
        <f>IF(AV8&gt;=$B$48,0,SUM($C46:AV$46)*$B49/12)</f>
        <v>0</v>
      </c>
      <c r="AW49" s="17">
        <f>IF(AW8&gt;=$B$48,0,SUM($C46:AW$46)*$B49/12)</f>
        <v>0</v>
      </c>
      <c r="AX49" s="17">
        <f>IF(AX8&gt;=$B$48,0,SUM($C46:AX$46)*$B49/12)</f>
        <v>0</v>
      </c>
      <c r="AY49" s="17">
        <f>IF(AY8&gt;=$B$48,0,SUM($C46:AY$46)*$B49/12)</f>
        <v>0</v>
      </c>
      <c r="AZ49" s="17">
        <f>IF(AZ8&gt;=$B$48,0,SUM($C46:AZ$46)*$B49/12)</f>
        <v>0</v>
      </c>
      <c r="BA49" s="17">
        <f>IF(BA8&gt;=$B$48,0,SUM($C46:BA$46)*$B49/12)</f>
        <v>0</v>
      </c>
      <c r="BB49" s="17">
        <f>IF(BB8&gt;=$B$48,0,SUM($C46:BB$46)*$B49/12)</f>
        <v>0</v>
      </c>
      <c r="BC49" s="17">
        <f>IF(BC8&gt;=$B$48,0,SUM($C46:BC$46)*$B49/12)</f>
        <v>0</v>
      </c>
      <c r="BD49" s="17">
        <f>IF(BD8&gt;=$B$48,0,SUM($C46:BD$46)*$B49/12)</f>
        <v>0</v>
      </c>
      <c r="BE49" s="17">
        <f>IF(BE8&gt;=$B$48,0,SUM($C46:BE$46)*$B49/12)</f>
        <v>0</v>
      </c>
      <c r="BF49" s="17">
        <f>IF(BF8&gt;=$B$48,0,SUM($C46:BF$46)*$B49/12)</f>
        <v>0</v>
      </c>
      <c r="BG49" s="17">
        <f>IF(BG8&gt;=$B$48,0,SUM($C46:BG$46)*$B49/12)</f>
        <v>0</v>
      </c>
      <c r="BH49" s="17">
        <f>IF(BH8&gt;=$B$48,0,SUM($C46:BH$46)*$B49/12)</f>
        <v>0</v>
      </c>
      <c r="BI49" s="17">
        <f>IF(BI8&gt;=$B$48,0,SUM($C46:BI$46)*$B49/12)</f>
        <v>0</v>
      </c>
      <c r="BJ49" s="17">
        <f>IF(BJ8&gt;=$B$48,0,SUM($C46:BJ$46)*$B49/12)</f>
        <v>0</v>
      </c>
      <c r="BK49" s="17">
        <f>IF(BK8&gt;=$B$48,0,SUM($C46:BK$46)*$B49/12)</f>
        <v>0</v>
      </c>
    </row>
    <row r="50" spans="1:63"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</row>
    <row r="51" spans="1:63">
      <c r="A51" s="102" t="s">
        <v>227</v>
      </c>
      <c r="B51" s="99"/>
      <c r="C51" s="17"/>
      <c r="D51" s="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</row>
    <row r="52" spans="1:63">
      <c r="A52" s="11" t="s">
        <v>221</v>
      </c>
      <c r="B52" s="99"/>
      <c r="C52" s="29">
        <f ca="1">Inputs!S66</f>
        <v>0</v>
      </c>
      <c r="D52" s="17">
        <f t="shared" ref="D52:AN52" ca="1" si="41">IF(D8&gt;$B$48,0,C54)</f>
        <v>0</v>
      </c>
      <c r="E52" s="17">
        <f t="shared" ca="1" si="41"/>
        <v>0</v>
      </c>
      <c r="F52" s="17">
        <f t="shared" ca="1" si="41"/>
        <v>0</v>
      </c>
      <c r="G52" s="17">
        <f t="shared" ca="1" si="41"/>
        <v>0</v>
      </c>
      <c r="H52" s="17">
        <f t="shared" ca="1" si="41"/>
        <v>0</v>
      </c>
      <c r="I52" s="17">
        <f t="shared" ca="1" si="41"/>
        <v>0</v>
      </c>
      <c r="J52" s="17">
        <f t="shared" ca="1" si="41"/>
        <v>0</v>
      </c>
      <c r="K52" s="17">
        <f t="shared" ca="1" si="41"/>
        <v>0</v>
      </c>
      <c r="L52" s="17">
        <f t="shared" ca="1" si="41"/>
        <v>0</v>
      </c>
      <c r="M52" s="17">
        <f t="shared" ca="1" si="41"/>
        <v>0</v>
      </c>
      <c r="N52" s="17">
        <f t="shared" ca="1" si="41"/>
        <v>0</v>
      </c>
      <c r="O52" s="17">
        <f t="shared" ca="1" si="41"/>
        <v>0</v>
      </c>
      <c r="P52" s="17">
        <f t="shared" ca="1" si="41"/>
        <v>0</v>
      </c>
      <c r="Q52" s="17">
        <f t="shared" ca="1" si="41"/>
        <v>0</v>
      </c>
      <c r="R52" s="17">
        <f t="shared" ca="1" si="41"/>
        <v>0</v>
      </c>
      <c r="S52" s="17">
        <f t="shared" ca="1" si="41"/>
        <v>0</v>
      </c>
      <c r="T52" s="17">
        <f t="shared" ca="1" si="41"/>
        <v>0</v>
      </c>
      <c r="U52" s="17">
        <f t="shared" ca="1" si="41"/>
        <v>0</v>
      </c>
      <c r="V52" s="17">
        <f t="shared" ca="1" si="41"/>
        <v>0</v>
      </c>
      <c r="W52" s="17">
        <f t="shared" ca="1" si="41"/>
        <v>0</v>
      </c>
      <c r="X52" s="17">
        <f t="shared" ca="1" si="41"/>
        <v>0</v>
      </c>
      <c r="Y52" s="17">
        <f t="shared" ca="1" si="41"/>
        <v>0</v>
      </c>
      <c r="Z52" s="17">
        <f t="shared" ca="1" si="41"/>
        <v>0</v>
      </c>
      <c r="AA52" s="17">
        <f t="shared" ca="1" si="41"/>
        <v>0</v>
      </c>
      <c r="AB52" s="17">
        <f t="shared" ca="1" si="41"/>
        <v>0</v>
      </c>
      <c r="AC52" s="17">
        <f t="shared" ca="1" si="41"/>
        <v>0</v>
      </c>
      <c r="AD52" s="17">
        <f t="shared" ca="1" si="41"/>
        <v>0</v>
      </c>
      <c r="AE52" s="17">
        <f t="shared" ca="1" si="41"/>
        <v>0</v>
      </c>
      <c r="AF52" s="17">
        <f t="shared" ca="1" si="41"/>
        <v>0</v>
      </c>
      <c r="AG52" s="17">
        <f t="shared" ca="1" si="41"/>
        <v>0</v>
      </c>
      <c r="AH52" s="17">
        <f t="shared" ca="1" si="41"/>
        <v>0</v>
      </c>
      <c r="AI52" s="17">
        <f t="shared" ca="1" si="41"/>
        <v>0</v>
      </c>
      <c r="AJ52" s="17">
        <f t="shared" ca="1" si="41"/>
        <v>0</v>
      </c>
      <c r="AK52" s="17">
        <f t="shared" ca="1" si="41"/>
        <v>0</v>
      </c>
      <c r="AL52" s="17">
        <f t="shared" ca="1" si="41"/>
        <v>0</v>
      </c>
      <c r="AM52" s="17">
        <f t="shared" ca="1" si="41"/>
        <v>0</v>
      </c>
      <c r="AN52" s="17">
        <f t="shared" ca="1" si="41"/>
        <v>0</v>
      </c>
      <c r="AO52" s="17">
        <f t="shared" ref="AO52" ca="1" si="42">IF(AO8&gt;$B$48,0,AN54)</f>
        <v>0</v>
      </c>
      <c r="AP52" s="17">
        <f t="shared" ref="AP52" si="43">IF(AP8&gt;$B$48,0,AO54)</f>
        <v>0</v>
      </c>
      <c r="AQ52" s="17">
        <f t="shared" ref="AQ52" si="44">IF(AQ8&gt;$B$48,0,AP54)</f>
        <v>0</v>
      </c>
      <c r="AR52" s="17">
        <f t="shared" ref="AR52" si="45">IF(AR8&gt;$B$48,0,AQ54)</f>
        <v>0</v>
      </c>
      <c r="AS52" s="17">
        <f t="shared" ref="AS52" si="46">IF(AS8&gt;$B$48,0,AR54)</f>
        <v>0</v>
      </c>
      <c r="AT52" s="17">
        <f t="shared" ref="AT52" si="47">IF(AT8&gt;$B$48,0,AS54)</f>
        <v>0</v>
      </c>
      <c r="AU52" s="17">
        <f t="shared" ref="AU52" si="48">IF(AU8&gt;$B$48,0,AT54)</f>
        <v>0</v>
      </c>
      <c r="AV52" s="17">
        <f t="shared" ref="AV52" si="49">IF(AV8&gt;$B$48,0,AU54)</f>
        <v>0</v>
      </c>
      <c r="AW52" s="17">
        <f t="shared" ref="AW52" si="50">IF(AW8&gt;$B$48,0,AV54)</f>
        <v>0</v>
      </c>
      <c r="AX52" s="17">
        <f t="shared" ref="AX52" si="51">IF(AX8&gt;$B$48,0,AW54)</f>
        <v>0</v>
      </c>
      <c r="AY52" s="17">
        <f t="shared" ref="AY52" si="52">IF(AY8&gt;$B$48,0,AX54)</f>
        <v>0</v>
      </c>
      <c r="AZ52" s="17">
        <f t="shared" ref="AZ52" si="53">IF(AZ8&gt;$B$48,0,AY54)</f>
        <v>0</v>
      </c>
      <c r="BA52" s="17">
        <f t="shared" ref="BA52" si="54">IF(BA8&gt;$B$48,0,AZ54)</f>
        <v>0</v>
      </c>
      <c r="BB52" s="17">
        <f t="shared" ref="BB52" si="55">IF(BB8&gt;$B$48,0,BA54)</f>
        <v>0</v>
      </c>
      <c r="BC52" s="17">
        <f t="shared" ref="BC52" si="56">IF(BC8&gt;$B$48,0,BB54)</f>
        <v>0</v>
      </c>
      <c r="BD52" s="17">
        <f t="shared" ref="BD52" si="57">IF(BD8&gt;$B$48,0,BC54)</f>
        <v>0</v>
      </c>
      <c r="BE52" s="17">
        <f t="shared" ref="BE52" si="58">IF(BE8&gt;$B$48,0,BD54)</f>
        <v>0</v>
      </c>
      <c r="BF52" s="17">
        <f t="shared" ref="BF52" si="59">IF(BF8&gt;$B$48,0,BE54)</f>
        <v>0</v>
      </c>
      <c r="BG52" s="17">
        <f t="shared" ref="BG52" si="60">IF(BG8&gt;$B$48,0,BF54)</f>
        <v>0</v>
      </c>
      <c r="BH52" s="17">
        <f t="shared" ref="BH52" si="61">IF(BH8&gt;$B$48,0,BG54)</f>
        <v>0</v>
      </c>
      <c r="BI52" s="17">
        <f t="shared" ref="BI52" si="62">IF(BI8&gt;$B$48,0,BH54)</f>
        <v>0</v>
      </c>
      <c r="BJ52" s="17">
        <f t="shared" ref="BJ52" si="63">IF(BJ8&gt;$B$48,0,BI54)</f>
        <v>0</v>
      </c>
      <c r="BK52" s="17">
        <f t="shared" ref="BK52" si="64">IF(BK8&gt;$B$48,0,BJ54)</f>
        <v>0</v>
      </c>
    </row>
    <row r="53" spans="1:63">
      <c r="A53" s="11" t="s">
        <v>228</v>
      </c>
      <c r="B53" s="100">
        <f ca="1">SUM(C53:BK53)</f>
        <v>0</v>
      </c>
      <c r="C53" s="17">
        <f ca="1">IF(AND(C42=0,C47=0),C34-C46,0)</f>
        <v>0</v>
      </c>
      <c r="D53" s="17">
        <f t="shared" ref="D53:AN53" ca="1" si="65">IF(AND(D42=0,D47=0),D34-D46,0)</f>
        <v>0</v>
      </c>
      <c r="E53" s="17">
        <f t="shared" ca="1" si="65"/>
        <v>0</v>
      </c>
      <c r="F53" s="17">
        <f t="shared" ca="1" si="65"/>
        <v>0</v>
      </c>
      <c r="G53" s="17">
        <f t="shared" ca="1" si="65"/>
        <v>0</v>
      </c>
      <c r="H53" s="17">
        <f t="shared" ca="1" si="65"/>
        <v>0</v>
      </c>
      <c r="I53" s="17">
        <f t="shared" ca="1" si="65"/>
        <v>0</v>
      </c>
      <c r="J53" s="17">
        <f t="shared" ca="1" si="65"/>
        <v>0</v>
      </c>
      <c r="K53" s="17">
        <f t="shared" ca="1" si="65"/>
        <v>0</v>
      </c>
      <c r="L53" s="17">
        <f t="shared" ca="1" si="65"/>
        <v>0</v>
      </c>
      <c r="M53" s="17">
        <f t="shared" ca="1" si="65"/>
        <v>0</v>
      </c>
      <c r="N53" s="17">
        <f t="shared" ca="1" si="65"/>
        <v>0</v>
      </c>
      <c r="O53" s="17">
        <f t="shared" ca="1" si="65"/>
        <v>0</v>
      </c>
      <c r="P53" s="17">
        <f t="shared" ca="1" si="65"/>
        <v>0</v>
      </c>
      <c r="Q53" s="17">
        <f t="shared" ca="1" si="65"/>
        <v>0</v>
      </c>
      <c r="R53" s="17">
        <f t="shared" ca="1" si="65"/>
        <v>0</v>
      </c>
      <c r="S53" s="17">
        <f t="shared" ca="1" si="65"/>
        <v>0</v>
      </c>
      <c r="T53" s="17">
        <f t="shared" ca="1" si="65"/>
        <v>0</v>
      </c>
      <c r="U53" s="17">
        <f t="shared" ca="1" si="65"/>
        <v>0</v>
      </c>
      <c r="V53" s="17">
        <f t="shared" ca="1" si="65"/>
        <v>0</v>
      </c>
      <c r="W53" s="17">
        <f t="shared" ca="1" si="65"/>
        <v>0</v>
      </c>
      <c r="X53" s="17">
        <f t="shared" ca="1" si="65"/>
        <v>0</v>
      </c>
      <c r="Y53" s="17">
        <f t="shared" ca="1" si="65"/>
        <v>0</v>
      </c>
      <c r="Z53" s="17">
        <f t="shared" ca="1" si="65"/>
        <v>0</v>
      </c>
      <c r="AA53" s="17">
        <f t="shared" ca="1" si="65"/>
        <v>0</v>
      </c>
      <c r="AB53" s="17">
        <f t="shared" ca="1" si="65"/>
        <v>0</v>
      </c>
      <c r="AC53" s="17">
        <f t="shared" ca="1" si="65"/>
        <v>0</v>
      </c>
      <c r="AD53" s="17">
        <f t="shared" ca="1" si="65"/>
        <v>0</v>
      </c>
      <c r="AE53" s="17">
        <f t="shared" ca="1" si="65"/>
        <v>0</v>
      </c>
      <c r="AF53" s="17">
        <f t="shared" ca="1" si="65"/>
        <v>0</v>
      </c>
      <c r="AG53" s="17">
        <f t="shared" ca="1" si="65"/>
        <v>0</v>
      </c>
      <c r="AH53" s="17">
        <f t="shared" ca="1" si="65"/>
        <v>0</v>
      </c>
      <c r="AI53" s="17">
        <f t="shared" ca="1" si="65"/>
        <v>0</v>
      </c>
      <c r="AJ53" s="17">
        <f t="shared" ca="1" si="65"/>
        <v>0</v>
      </c>
      <c r="AK53" s="17">
        <f t="shared" ca="1" si="65"/>
        <v>0</v>
      </c>
      <c r="AL53" s="17">
        <f t="shared" ca="1" si="65"/>
        <v>0</v>
      </c>
      <c r="AM53" s="17">
        <f t="shared" ca="1" si="65"/>
        <v>0</v>
      </c>
      <c r="AN53" s="17">
        <f t="shared" ca="1" si="65"/>
        <v>0</v>
      </c>
      <c r="AO53" s="17">
        <f t="shared" ref="AO53:AW53" ca="1" si="66">IF(AND(AO42=0,AO47=0),AO34-AO46,0)</f>
        <v>0</v>
      </c>
      <c r="AP53" s="17">
        <f t="shared" ca="1" si="66"/>
        <v>0</v>
      </c>
      <c r="AQ53" s="17">
        <f t="shared" ca="1" si="66"/>
        <v>0</v>
      </c>
      <c r="AR53" s="17">
        <f t="shared" ca="1" si="66"/>
        <v>0</v>
      </c>
      <c r="AS53" s="17">
        <f t="shared" ca="1" si="66"/>
        <v>0</v>
      </c>
      <c r="AT53" s="17">
        <f t="shared" ca="1" si="66"/>
        <v>0</v>
      </c>
      <c r="AU53" s="17">
        <f t="shared" ca="1" si="66"/>
        <v>0</v>
      </c>
      <c r="AV53" s="17">
        <f t="shared" ca="1" si="66"/>
        <v>0</v>
      </c>
      <c r="AW53" s="17">
        <f t="shared" ca="1" si="66"/>
        <v>0</v>
      </c>
      <c r="AX53" s="17">
        <f t="shared" ref="AX53:BK53" ca="1" si="67">IF(AND(AX42=0,AX47=0),AX34-AX46,0)</f>
        <v>0</v>
      </c>
      <c r="AY53" s="17">
        <f t="shared" ca="1" si="67"/>
        <v>0</v>
      </c>
      <c r="AZ53" s="17">
        <f t="shared" ca="1" si="67"/>
        <v>0</v>
      </c>
      <c r="BA53" s="17">
        <f t="shared" ca="1" si="67"/>
        <v>0</v>
      </c>
      <c r="BB53" s="17">
        <f t="shared" ca="1" si="67"/>
        <v>0</v>
      </c>
      <c r="BC53" s="17">
        <f t="shared" ca="1" si="67"/>
        <v>0</v>
      </c>
      <c r="BD53" s="17">
        <f t="shared" ca="1" si="67"/>
        <v>0</v>
      </c>
      <c r="BE53" s="17">
        <f t="shared" ca="1" si="67"/>
        <v>0</v>
      </c>
      <c r="BF53" s="17">
        <f t="shared" ca="1" si="67"/>
        <v>0</v>
      </c>
      <c r="BG53" s="17">
        <f t="shared" ca="1" si="67"/>
        <v>0</v>
      </c>
      <c r="BH53" s="17">
        <f t="shared" ca="1" si="67"/>
        <v>0</v>
      </c>
      <c r="BI53" s="17">
        <f t="shared" ca="1" si="67"/>
        <v>0</v>
      </c>
      <c r="BJ53" s="17">
        <f t="shared" ca="1" si="67"/>
        <v>0</v>
      </c>
      <c r="BK53" s="17">
        <f t="shared" ca="1" si="67"/>
        <v>0</v>
      </c>
    </row>
    <row r="54" spans="1:63">
      <c r="A54" s="11" t="s">
        <v>229</v>
      </c>
      <c r="B54" s="99"/>
      <c r="C54" s="17">
        <f t="shared" ref="C54:AH54" ca="1" si="68">SUM(C52:C53)</f>
        <v>0</v>
      </c>
      <c r="D54" s="17">
        <f t="shared" ca="1" si="68"/>
        <v>0</v>
      </c>
      <c r="E54" s="17">
        <f t="shared" ca="1" si="68"/>
        <v>0</v>
      </c>
      <c r="F54" s="17">
        <f t="shared" ca="1" si="68"/>
        <v>0</v>
      </c>
      <c r="G54" s="17">
        <f t="shared" ca="1" si="68"/>
        <v>0</v>
      </c>
      <c r="H54" s="17">
        <f t="shared" ca="1" si="68"/>
        <v>0</v>
      </c>
      <c r="I54" s="17">
        <f t="shared" ca="1" si="68"/>
        <v>0</v>
      </c>
      <c r="J54" s="17">
        <f t="shared" ca="1" si="68"/>
        <v>0</v>
      </c>
      <c r="K54" s="17">
        <f t="shared" ca="1" si="68"/>
        <v>0</v>
      </c>
      <c r="L54" s="17">
        <f t="shared" ca="1" si="68"/>
        <v>0</v>
      </c>
      <c r="M54" s="17">
        <f t="shared" ca="1" si="68"/>
        <v>0</v>
      </c>
      <c r="N54" s="17">
        <f t="shared" ca="1" si="68"/>
        <v>0</v>
      </c>
      <c r="O54" s="17">
        <f t="shared" ca="1" si="68"/>
        <v>0</v>
      </c>
      <c r="P54" s="17">
        <f t="shared" ca="1" si="68"/>
        <v>0</v>
      </c>
      <c r="Q54" s="17">
        <f t="shared" ca="1" si="68"/>
        <v>0</v>
      </c>
      <c r="R54" s="17">
        <f t="shared" ca="1" si="68"/>
        <v>0</v>
      </c>
      <c r="S54" s="17">
        <f t="shared" ca="1" si="68"/>
        <v>0</v>
      </c>
      <c r="T54" s="17">
        <f t="shared" ca="1" si="68"/>
        <v>0</v>
      </c>
      <c r="U54" s="17">
        <f t="shared" ca="1" si="68"/>
        <v>0</v>
      </c>
      <c r="V54" s="17">
        <f t="shared" ca="1" si="68"/>
        <v>0</v>
      </c>
      <c r="W54" s="17">
        <f t="shared" ca="1" si="68"/>
        <v>0</v>
      </c>
      <c r="X54" s="17">
        <f t="shared" ca="1" si="68"/>
        <v>0</v>
      </c>
      <c r="Y54" s="17">
        <f t="shared" ca="1" si="68"/>
        <v>0</v>
      </c>
      <c r="Z54" s="17">
        <f t="shared" ca="1" si="68"/>
        <v>0</v>
      </c>
      <c r="AA54" s="17">
        <f t="shared" ca="1" si="68"/>
        <v>0</v>
      </c>
      <c r="AB54" s="17">
        <f t="shared" ca="1" si="68"/>
        <v>0</v>
      </c>
      <c r="AC54" s="17">
        <f t="shared" ca="1" si="68"/>
        <v>0</v>
      </c>
      <c r="AD54" s="17">
        <f t="shared" ca="1" si="68"/>
        <v>0</v>
      </c>
      <c r="AE54" s="17">
        <f t="shared" ca="1" si="68"/>
        <v>0</v>
      </c>
      <c r="AF54" s="17">
        <f t="shared" ca="1" si="68"/>
        <v>0</v>
      </c>
      <c r="AG54" s="17">
        <f t="shared" ca="1" si="68"/>
        <v>0</v>
      </c>
      <c r="AH54" s="17">
        <f t="shared" ca="1" si="68"/>
        <v>0</v>
      </c>
      <c r="AI54" s="17">
        <f t="shared" ref="AI54:AN54" ca="1" si="69">SUM(AI52:AI53)</f>
        <v>0</v>
      </c>
      <c r="AJ54" s="17">
        <f t="shared" ca="1" si="69"/>
        <v>0</v>
      </c>
      <c r="AK54" s="17">
        <f t="shared" ca="1" si="69"/>
        <v>0</v>
      </c>
      <c r="AL54" s="17">
        <f t="shared" ca="1" si="69"/>
        <v>0</v>
      </c>
      <c r="AM54" s="17">
        <f t="shared" ca="1" si="69"/>
        <v>0</v>
      </c>
      <c r="AN54" s="17">
        <f t="shared" ca="1" si="69"/>
        <v>0</v>
      </c>
      <c r="AO54" s="17">
        <f t="shared" ref="AO54:AW54" ca="1" si="70">SUM(AO52:AO53)</f>
        <v>0</v>
      </c>
      <c r="AP54" s="17">
        <f t="shared" ca="1" si="70"/>
        <v>0</v>
      </c>
      <c r="AQ54" s="17">
        <f t="shared" ca="1" si="70"/>
        <v>0</v>
      </c>
      <c r="AR54" s="17">
        <f t="shared" ca="1" si="70"/>
        <v>0</v>
      </c>
      <c r="AS54" s="17">
        <f t="shared" ca="1" si="70"/>
        <v>0</v>
      </c>
      <c r="AT54" s="17">
        <f t="shared" ca="1" si="70"/>
        <v>0</v>
      </c>
      <c r="AU54" s="17">
        <f t="shared" ca="1" si="70"/>
        <v>0</v>
      </c>
      <c r="AV54" s="17">
        <f t="shared" ca="1" si="70"/>
        <v>0</v>
      </c>
      <c r="AW54" s="17">
        <f t="shared" ca="1" si="70"/>
        <v>0</v>
      </c>
      <c r="AX54" s="17">
        <f t="shared" ref="AX54:BK54" ca="1" si="71">SUM(AX52:AX53)</f>
        <v>0</v>
      </c>
      <c r="AY54" s="17">
        <f t="shared" ca="1" si="71"/>
        <v>0</v>
      </c>
      <c r="AZ54" s="17">
        <f t="shared" ca="1" si="71"/>
        <v>0</v>
      </c>
      <c r="BA54" s="17">
        <f t="shared" ca="1" si="71"/>
        <v>0</v>
      </c>
      <c r="BB54" s="17">
        <f t="shared" ca="1" si="71"/>
        <v>0</v>
      </c>
      <c r="BC54" s="17">
        <f t="shared" ca="1" si="71"/>
        <v>0</v>
      </c>
      <c r="BD54" s="17">
        <f t="shared" ca="1" si="71"/>
        <v>0</v>
      </c>
      <c r="BE54" s="17">
        <f t="shared" ca="1" si="71"/>
        <v>0</v>
      </c>
      <c r="BF54" s="17">
        <f t="shared" ca="1" si="71"/>
        <v>0</v>
      </c>
      <c r="BG54" s="17">
        <f t="shared" ca="1" si="71"/>
        <v>0</v>
      </c>
      <c r="BH54" s="17">
        <f t="shared" ca="1" si="71"/>
        <v>0</v>
      </c>
      <c r="BI54" s="17">
        <f t="shared" ca="1" si="71"/>
        <v>0</v>
      </c>
      <c r="BJ54" s="17">
        <f t="shared" ca="1" si="71"/>
        <v>0</v>
      </c>
      <c r="BK54" s="17">
        <f t="shared" ca="1" si="71"/>
        <v>0</v>
      </c>
    </row>
    <row r="55" spans="1:63">
      <c r="A55" s="11"/>
      <c r="B55" s="99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</row>
    <row r="56" spans="1:63">
      <c r="A56" s="102" t="s">
        <v>230</v>
      </c>
      <c r="B56" s="99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</row>
    <row r="57" spans="1:63">
      <c r="A57" s="11" t="s">
        <v>231</v>
      </c>
      <c r="B57" s="99"/>
      <c r="C57" s="101">
        <v>0</v>
      </c>
      <c r="D57" s="17">
        <f t="shared" ref="D57:AN57" ca="1" si="72">IF(D8&gt;$B$48,0,C60)</f>
        <v>0</v>
      </c>
      <c r="E57" s="17">
        <f t="shared" ca="1" si="72"/>
        <v>0</v>
      </c>
      <c r="F57" s="17">
        <f t="shared" ca="1" si="72"/>
        <v>0</v>
      </c>
      <c r="G57" s="17">
        <f t="shared" ca="1" si="72"/>
        <v>0</v>
      </c>
      <c r="H57" s="17">
        <f t="shared" ca="1" si="72"/>
        <v>0</v>
      </c>
      <c r="I57" s="17">
        <f t="shared" ca="1" si="72"/>
        <v>0</v>
      </c>
      <c r="J57" s="17">
        <f t="shared" ca="1" si="72"/>
        <v>0</v>
      </c>
      <c r="K57" s="17">
        <f t="shared" ca="1" si="72"/>
        <v>0</v>
      </c>
      <c r="L57" s="17">
        <f t="shared" ca="1" si="72"/>
        <v>0</v>
      </c>
      <c r="M57" s="17">
        <f t="shared" ca="1" si="72"/>
        <v>0</v>
      </c>
      <c r="N57" s="17">
        <f t="shared" ca="1" si="72"/>
        <v>0</v>
      </c>
      <c r="O57" s="17">
        <f t="shared" ca="1" si="72"/>
        <v>0</v>
      </c>
      <c r="P57" s="17">
        <f t="shared" ca="1" si="72"/>
        <v>0</v>
      </c>
      <c r="Q57" s="17">
        <f t="shared" ca="1" si="72"/>
        <v>0</v>
      </c>
      <c r="R57" s="17">
        <f t="shared" ca="1" si="72"/>
        <v>0</v>
      </c>
      <c r="S57" s="17">
        <f t="shared" ca="1" si="72"/>
        <v>0</v>
      </c>
      <c r="T57" s="17">
        <f t="shared" ca="1" si="72"/>
        <v>0</v>
      </c>
      <c r="U57" s="17">
        <f t="shared" ca="1" si="72"/>
        <v>0</v>
      </c>
      <c r="V57" s="17">
        <f t="shared" ca="1" si="72"/>
        <v>0</v>
      </c>
      <c r="W57" s="17">
        <f t="shared" ca="1" si="72"/>
        <v>0</v>
      </c>
      <c r="X57" s="17">
        <f t="shared" ca="1" si="72"/>
        <v>0</v>
      </c>
      <c r="Y57" s="17">
        <f t="shared" ca="1" si="72"/>
        <v>0</v>
      </c>
      <c r="Z57" s="17">
        <f t="shared" ca="1" si="72"/>
        <v>0</v>
      </c>
      <c r="AA57" s="17">
        <f t="shared" ca="1" si="72"/>
        <v>0</v>
      </c>
      <c r="AB57" s="17">
        <f t="shared" ca="1" si="72"/>
        <v>0</v>
      </c>
      <c r="AC57" s="17">
        <f t="shared" ca="1" si="72"/>
        <v>0</v>
      </c>
      <c r="AD57" s="17">
        <f t="shared" ca="1" si="72"/>
        <v>0</v>
      </c>
      <c r="AE57" s="17">
        <f t="shared" ca="1" si="72"/>
        <v>0</v>
      </c>
      <c r="AF57" s="17">
        <f t="shared" ca="1" si="72"/>
        <v>0</v>
      </c>
      <c r="AG57" s="17">
        <f t="shared" ca="1" si="72"/>
        <v>0</v>
      </c>
      <c r="AH57" s="17">
        <f t="shared" ca="1" si="72"/>
        <v>0</v>
      </c>
      <c r="AI57" s="17">
        <f t="shared" ca="1" si="72"/>
        <v>0</v>
      </c>
      <c r="AJ57" s="17">
        <f t="shared" ca="1" si="72"/>
        <v>0</v>
      </c>
      <c r="AK57" s="17">
        <f t="shared" ca="1" si="72"/>
        <v>0</v>
      </c>
      <c r="AL57" s="17">
        <f t="shared" ca="1" si="72"/>
        <v>0</v>
      </c>
      <c r="AM57" s="17">
        <f t="shared" ca="1" si="72"/>
        <v>0</v>
      </c>
      <c r="AN57" s="17">
        <f t="shared" ca="1" si="72"/>
        <v>0</v>
      </c>
      <c r="AO57" s="17">
        <f t="shared" ref="AO57" ca="1" si="73">IF(AO8&gt;$B$48,0,AN60)</f>
        <v>0</v>
      </c>
      <c r="AP57" s="17">
        <f t="shared" ref="AP57" si="74">IF(AP8&gt;$B$48,0,AO60)</f>
        <v>0</v>
      </c>
      <c r="AQ57" s="17">
        <f t="shared" ref="AQ57" si="75">IF(AQ8&gt;$B$48,0,AP60)</f>
        <v>0</v>
      </c>
      <c r="AR57" s="17">
        <f t="shared" ref="AR57" si="76">IF(AR8&gt;$B$48,0,AQ60)</f>
        <v>0</v>
      </c>
      <c r="AS57" s="17">
        <f t="shared" ref="AS57" si="77">IF(AS8&gt;$B$48,0,AR60)</f>
        <v>0</v>
      </c>
      <c r="AT57" s="17">
        <f t="shared" ref="AT57" si="78">IF(AT8&gt;$B$48,0,AS60)</f>
        <v>0</v>
      </c>
      <c r="AU57" s="17">
        <f t="shared" ref="AU57" si="79">IF(AU8&gt;$B$48,0,AT60)</f>
        <v>0</v>
      </c>
      <c r="AV57" s="17">
        <f t="shared" ref="AV57" si="80">IF(AV8&gt;$B$48,0,AU60)</f>
        <v>0</v>
      </c>
      <c r="AW57" s="17">
        <f t="shared" ref="AW57" si="81">IF(AW8&gt;$B$48,0,AV60)</f>
        <v>0</v>
      </c>
      <c r="AX57" s="17">
        <f t="shared" ref="AX57" si="82">IF(AX8&gt;$B$48,0,AW60)</f>
        <v>0</v>
      </c>
      <c r="AY57" s="17">
        <f t="shared" ref="AY57" si="83">IF(AY8&gt;$B$48,0,AX60)</f>
        <v>0</v>
      </c>
      <c r="AZ57" s="17">
        <f t="shared" ref="AZ57" si="84">IF(AZ8&gt;$B$48,0,AY60)</f>
        <v>0</v>
      </c>
      <c r="BA57" s="17">
        <f t="shared" ref="BA57" si="85">IF(BA8&gt;$B$48,0,AZ60)</f>
        <v>0</v>
      </c>
      <c r="BB57" s="17">
        <f t="shared" ref="BB57" si="86">IF(BB8&gt;$B$48,0,BA60)</f>
        <v>0</v>
      </c>
      <c r="BC57" s="17">
        <f t="shared" ref="BC57" si="87">IF(BC8&gt;$B$48,0,BB60)</f>
        <v>0</v>
      </c>
      <c r="BD57" s="17">
        <f t="shared" ref="BD57" si="88">IF(BD8&gt;$B$48,0,BC60)</f>
        <v>0</v>
      </c>
      <c r="BE57" s="17">
        <f t="shared" ref="BE57" si="89">IF(BE8&gt;$B$48,0,BD60)</f>
        <v>0</v>
      </c>
      <c r="BF57" s="17">
        <f t="shared" ref="BF57" si="90">IF(BF8&gt;$B$48,0,BE60)</f>
        <v>0</v>
      </c>
      <c r="BG57" s="17">
        <f t="shared" ref="BG57" si="91">IF(BG8&gt;$B$48,0,BF60)</f>
        <v>0</v>
      </c>
      <c r="BH57" s="17">
        <f t="shared" ref="BH57" si="92">IF(BH8&gt;$B$48,0,BG60)</f>
        <v>0</v>
      </c>
      <c r="BI57" s="17">
        <f t="shared" ref="BI57" si="93">IF(BI8&gt;$B$48,0,BH60)</f>
        <v>0</v>
      </c>
      <c r="BJ57" s="17">
        <f t="shared" ref="BJ57" si="94">IF(BJ8&gt;$B$48,0,BI60)</f>
        <v>0</v>
      </c>
      <c r="BK57" s="17">
        <f t="shared" ref="BK57" si="95">IF(BK8&gt;$B$48,0,BJ60)</f>
        <v>0</v>
      </c>
    </row>
    <row r="58" spans="1:63">
      <c r="A58" s="11" t="s">
        <v>232</v>
      </c>
      <c r="B58" s="99"/>
      <c r="C58" s="17">
        <f ca="1">C53</f>
        <v>0</v>
      </c>
      <c r="D58" s="17">
        <f ca="1">D53</f>
        <v>0</v>
      </c>
      <c r="E58" s="17">
        <f t="shared" ref="E58:AN58" ca="1" si="96">E53</f>
        <v>0</v>
      </c>
      <c r="F58" s="17">
        <f t="shared" ca="1" si="96"/>
        <v>0</v>
      </c>
      <c r="G58" s="17">
        <f t="shared" ca="1" si="96"/>
        <v>0</v>
      </c>
      <c r="H58" s="17">
        <f t="shared" ca="1" si="96"/>
        <v>0</v>
      </c>
      <c r="I58" s="17">
        <f t="shared" ca="1" si="96"/>
        <v>0</v>
      </c>
      <c r="J58" s="17">
        <f t="shared" ca="1" si="96"/>
        <v>0</v>
      </c>
      <c r="K58" s="17">
        <f t="shared" ca="1" si="96"/>
        <v>0</v>
      </c>
      <c r="L58" s="17">
        <f t="shared" ca="1" si="96"/>
        <v>0</v>
      </c>
      <c r="M58" s="17">
        <f t="shared" ca="1" si="96"/>
        <v>0</v>
      </c>
      <c r="N58" s="17">
        <f t="shared" ca="1" si="96"/>
        <v>0</v>
      </c>
      <c r="O58" s="17">
        <f t="shared" ca="1" si="96"/>
        <v>0</v>
      </c>
      <c r="P58" s="17">
        <f t="shared" ca="1" si="96"/>
        <v>0</v>
      </c>
      <c r="Q58" s="17">
        <f t="shared" ca="1" si="96"/>
        <v>0</v>
      </c>
      <c r="R58" s="17">
        <f t="shared" ca="1" si="96"/>
        <v>0</v>
      </c>
      <c r="S58" s="17">
        <f t="shared" ca="1" si="96"/>
        <v>0</v>
      </c>
      <c r="T58" s="17">
        <f t="shared" ca="1" si="96"/>
        <v>0</v>
      </c>
      <c r="U58" s="17">
        <f t="shared" ca="1" si="96"/>
        <v>0</v>
      </c>
      <c r="V58" s="17">
        <f t="shared" ca="1" si="96"/>
        <v>0</v>
      </c>
      <c r="W58" s="17">
        <f t="shared" ca="1" si="96"/>
        <v>0</v>
      </c>
      <c r="X58" s="17">
        <f t="shared" ca="1" si="96"/>
        <v>0</v>
      </c>
      <c r="Y58" s="17">
        <f t="shared" ca="1" si="96"/>
        <v>0</v>
      </c>
      <c r="Z58" s="17">
        <f t="shared" ca="1" si="96"/>
        <v>0</v>
      </c>
      <c r="AA58" s="17">
        <f t="shared" ca="1" si="96"/>
        <v>0</v>
      </c>
      <c r="AB58" s="17">
        <f t="shared" ca="1" si="96"/>
        <v>0</v>
      </c>
      <c r="AC58" s="17">
        <f t="shared" ca="1" si="96"/>
        <v>0</v>
      </c>
      <c r="AD58" s="17">
        <f t="shared" ca="1" si="96"/>
        <v>0</v>
      </c>
      <c r="AE58" s="17">
        <f t="shared" ca="1" si="96"/>
        <v>0</v>
      </c>
      <c r="AF58" s="17">
        <f t="shared" ca="1" si="96"/>
        <v>0</v>
      </c>
      <c r="AG58" s="17">
        <f t="shared" ca="1" si="96"/>
        <v>0</v>
      </c>
      <c r="AH58" s="17">
        <f t="shared" ca="1" si="96"/>
        <v>0</v>
      </c>
      <c r="AI58" s="17">
        <f t="shared" ca="1" si="96"/>
        <v>0</v>
      </c>
      <c r="AJ58" s="17">
        <f t="shared" ca="1" si="96"/>
        <v>0</v>
      </c>
      <c r="AK58" s="17">
        <f t="shared" ca="1" si="96"/>
        <v>0</v>
      </c>
      <c r="AL58" s="17">
        <f t="shared" ca="1" si="96"/>
        <v>0</v>
      </c>
      <c r="AM58" s="17">
        <f t="shared" ca="1" si="96"/>
        <v>0</v>
      </c>
      <c r="AN58" s="17">
        <f t="shared" ca="1" si="96"/>
        <v>0</v>
      </c>
      <c r="AO58" s="17">
        <f t="shared" ref="AO58:AW58" ca="1" si="97">AO53</f>
        <v>0</v>
      </c>
      <c r="AP58" s="17">
        <f t="shared" ca="1" si="97"/>
        <v>0</v>
      </c>
      <c r="AQ58" s="17">
        <f t="shared" ca="1" si="97"/>
        <v>0</v>
      </c>
      <c r="AR58" s="17">
        <f t="shared" ca="1" si="97"/>
        <v>0</v>
      </c>
      <c r="AS58" s="17">
        <f t="shared" ca="1" si="97"/>
        <v>0</v>
      </c>
      <c r="AT58" s="17">
        <f t="shared" ca="1" si="97"/>
        <v>0</v>
      </c>
      <c r="AU58" s="17">
        <f t="shared" ca="1" si="97"/>
        <v>0</v>
      </c>
      <c r="AV58" s="17">
        <f t="shared" ca="1" si="97"/>
        <v>0</v>
      </c>
      <c r="AW58" s="17">
        <f t="shared" ca="1" si="97"/>
        <v>0</v>
      </c>
      <c r="AX58" s="17">
        <f t="shared" ref="AX58:BK58" ca="1" si="98">AX53</f>
        <v>0</v>
      </c>
      <c r="AY58" s="17">
        <f t="shared" ca="1" si="98"/>
        <v>0</v>
      </c>
      <c r="AZ58" s="17">
        <f t="shared" ca="1" si="98"/>
        <v>0</v>
      </c>
      <c r="BA58" s="17">
        <f t="shared" ca="1" si="98"/>
        <v>0</v>
      </c>
      <c r="BB58" s="17">
        <f t="shared" ca="1" si="98"/>
        <v>0</v>
      </c>
      <c r="BC58" s="17">
        <f t="shared" ca="1" si="98"/>
        <v>0</v>
      </c>
      <c r="BD58" s="17">
        <f t="shared" ca="1" si="98"/>
        <v>0</v>
      </c>
      <c r="BE58" s="17">
        <f t="shared" ca="1" si="98"/>
        <v>0</v>
      </c>
      <c r="BF58" s="17">
        <f t="shared" ca="1" si="98"/>
        <v>0</v>
      </c>
      <c r="BG58" s="17">
        <f t="shared" ca="1" si="98"/>
        <v>0</v>
      </c>
      <c r="BH58" s="17">
        <f t="shared" ca="1" si="98"/>
        <v>0</v>
      </c>
      <c r="BI58" s="17">
        <f t="shared" ca="1" si="98"/>
        <v>0</v>
      </c>
      <c r="BJ58" s="17">
        <f t="shared" ca="1" si="98"/>
        <v>0</v>
      </c>
      <c r="BK58" s="17">
        <f t="shared" ca="1" si="98"/>
        <v>0</v>
      </c>
    </row>
    <row r="59" spans="1:63">
      <c r="A59" s="11" t="s">
        <v>166</v>
      </c>
      <c r="B59" s="99">
        <f>Inputs!S68</f>
        <v>0.17</v>
      </c>
      <c r="C59" s="17">
        <f t="shared" ref="C59:AN59" si="99">C57*$B$59/12</f>
        <v>0</v>
      </c>
      <c r="D59" s="17">
        <f t="shared" ca="1" si="99"/>
        <v>0</v>
      </c>
      <c r="E59" s="17">
        <f t="shared" ca="1" si="99"/>
        <v>0</v>
      </c>
      <c r="F59" s="17">
        <f t="shared" ca="1" si="99"/>
        <v>0</v>
      </c>
      <c r="G59" s="17">
        <f t="shared" ca="1" si="99"/>
        <v>0</v>
      </c>
      <c r="H59" s="17">
        <f t="shared" ca="1" si="99"/>
        <v>0</v>
      </c>
      <c r="I59" s="17">
        <f t="shared" ca="1" si="99"/>
        <v>0</v>
      </c>
      <c r="J59" s="17">
        <f t="shared" ca="1" si="99"/>
        <v>0</v>
      </c>
      <c r="K59" s="17">
        <f t="shared" ca="1" si="99"/>
        <v>0</v>
      </c>
      <c r="L59" s="17">
        <f t="shared" ca="1" si="99"/>
        <v>0</v>
      </c>
      <c r="M59" s="17">
        <f t="shared" ca="1" si="99"/>
        <v>0</v>
      </c>
      <c r="N59" s="17">
        <f t="shared" ca="1" si="99"/>
        <v>0</v>
      </c>
      <c r="O59" s="17">
        <f t="shared" ca="1" si="99"/>
        <v>0</v>
      </c>
      <c r="P59" s="17">
        <f t="shared" ca="1" si="99"/>
        <v>0</v>
      </c>
      <c r="Q59" s="17">
        <f t="shared" ca="1" si="99"/>
        <v>0</v>
      </c>
      <c r="R59" s="17">
        <f t="shared" ca="1" si="99"/>
        <v>0</v>
      </c>
      <c r="S59" s="17">
        <f t="shared" ca="1" si="99"/>
        <v>0</v>
      </c>
      <c r="T59" s="17">
        <f t="shared" ca="1" si="99"/>
        <v>0</v>
      </c>
      <c r="U59" s="17">
        <f t="shared" ca="1" si="99"/>
        <v>0</v>
      </c>
      <c r="V59" s="17">
        <f t="shared" ca="1" si="99"/>
        <v>0</v>
      </c>
      <c r="W59" s="17">
        <f t="shared" ca="1" si="99"/>
        <v>0</v>
      </c>
      <c r="X59" s="17">
        <f t="shared" ca="1" si="99"/>
        <v>0</v>
      </c>
      <c r="Y59" s="17">
        <f t="shared" ca="1" si="99"/>
        <v>0</v>
      </c>
      <c r="Z59" s="17">
        <f t="shared" ca="1" si="99"/>
        <v>0</v>
      </c>
      <c r="AA59" s="17">
        <f t="shared" ca="1" si="99"/>
        <v>0</v>
      </c>
      <c r="AB59" s="17">
        <f t="shared" ca="1" si="99"/>
        <v>0</v>
      </c>
      <c r="AC59" s="17">
        <f t="shared" ca="1" si="99"/>
        <v>0</v>
      </c>
      <c r="AD59" s="17">
        <f t="shared" ca="1" si="99"/>
        <v>0</v>
      </c>
      <c r="AE59" s="17">
        <f t="shared" ca="1" si="99"/>
        <v>0</v>
      </c>
      <c r="AF59" s="17">
        <f t="shared" ca="1" si="99"/>
        <v>0</v>
      </c>
      <c r="AG59" s="17">
        <f t="shared" ca="1" si="99"/>
        <v>0</v>
      </c>
      <c r="AH59" s="17">
        <f t="shared" ca="1" si="99"/>
        <v>0</v>
      </c>
      <c r="AI59" s="17">
        <f t="shared" ca="1" si="99"/>
        <v>0</v>
      </c>
      <c r="AJ59" s="17">
        <f t="shared" ca="1" si="99"/>
        <v>0</v>
      </c>
      <c r="AK59" s="17">
        <f t="shared" ca="1" si="99"/>
        <v>0</v>
      </c>
      <c r="AL59" s="17">
        <f t="shared" ca="1" si="99"/>
        <v>0</v>
      </c>
      <c r="AM59" s="17">
        <f t="shared" ca="1" si="99"/>
        <v>0</v>
      </c>
      <c r="AN59" s="17">
        <f t="shared" ca="1" si="99"/>
        <v>0</v>
      </c>
      <c r="AO59" s="17">
        <f t="shared" ref="AO59:AW59" ca="1" si="100">AO57*$B$59/12</f>
        <v>0</v>
      </c>
      <c r="AP59" s="17">
        <f t="shared" si="100"/>
        <v>0</v>
      </c>
      <c r="AQ59" s="17">
        <f t="shared" si="100"/>
        <v>0</v>
      </c>
      <c r="AR59" s="17">
        <f t="shared" si="100"/>
        <v>0</v>
      </c>
      <c r="AS59" s="17">
        <f t="shared" si="100"/>
        <v>0</v>
      </c>
      <c r="AT59" s="17">
        <f t="shared" si="100"/>
        <v>0</v>
      </c>
      <c r="AU59" s="17">
        <f t="shared" si="100"/>
        <v>0</v>
      </c>
      <c r="AV59" s="17">
        <f t="shared" si="100"/>
        <v>0</v>
      </c>
      <c r="AW59" s="17">
        <f t="shared" si="100"/>
        <v>0</v>
      </c>
      <c r="AX59" s="17">
        <f t="shared" ref="AX59:BK59" si="101">AX57*$B$59/12</f>
        <v>0</v>
      </c>
      <c r="AY59" s="17">
        <f t="shared" si="101"/>
        <v>0</v>
      </c>
      <c r="AZ59" s="17">
        <f t="shared" si="101"/>
        <v>0</v>
      </c>
      <c r="BA59" s="17">
        <f t="shared" si="101"/>
        <v>0</v>
      </c>
      <c r="BB59" s="17">
        <f t="shared" si="101"/>
        <v>0</v>
      </c>
      <c r="BC59" s="17">
        <f t="shared" si="101"/>
        <v>0</v>
      </c>
      <c r="BD59" s="17">
        <f t="shared" si="101"/>
        <v>0</v>
      </c>
      <c r="BE59" s="17">
        <f t="shared" si="101"/>
        <v>0</v>
      </c>
      <c r="BF59" s="17">
        <f t="shared" si="101"/>
        <v>0</v>
      </c>
      <c r="BG59" s="17">
        <f t="shared" si="101"/>
        <v>0</v>
      </c>
      <c r="BH59" s="17">
        <f t="shared" si="101"/>
        <v>0</v>
      </c>
      <c r="BI59" s="17">
        <f t="shared" si="101"/>
        <v>0</v>
      </c>
      <c r="BJ59" s="17">
        <f t="shared" si="101"/>
        <v>0</v>
      </c>
      <c r="BK59" s="17">
        <f t="shared" si="101"/>
        <v>0</v>
      </c>
    </row>
    <row r="60" spans="1:63">
      <c r="A60" s="11" t="s">
        <v>233</v>
      </c>
      <c r="B60" s="100">
        <f ca="1">MIN(C60:BK60)</f>
        <v>0</v>
      </c>
      <c r="C60" s="17">
        <f ca="1">SUM(C57:C59)</f>
        <v>0</v>
      </c>
      <c r="D60" s="17">
        <f ca="1">SUM(D57:D59)</f>
        <v>0</v>
      </c>
      <c r="E60" s="17">
        <f t="shared" ref="E60:AN60" ca="1" si="102">SUM(E57:E59)</f>
        <v>0</v>
      </c>
      <c r="F60" s="17">
        <f t="shared" ca="1" si="102"/>
        <v>0</v>
      </c>
      <c r="G60" s="17">
        <f t="shared" ca="1" si="102"/>
        <v>0</v>
      </c>
      <c r="H60" s="17">
        <f t="shared" ca="1" si="102"/>
        <v>0</v>
      </c>
      <c r="I60" s="17">
        <f t="shared" ca="1" si="102"/>
        <v>0</v>
      </c>
      <c r="J60" s="17">
        <f t="shared" ca="1" si="102"/>
        <v>0</v>
      </c>
      <c r="K60" s="17">
        <f t="shared" ca="1" si="102"/>
        <v>0</v>
      </c>
      <c r="L60" s="17">
        <f t="shared" ca="1" si="102"/>
        <v>0</v>
      </c>
      <c r="M60" s="17">
        <f t="shared" ca="1" si="102"/>
        <v>0</v>
      </c>
      <c r="N60" s="17">
        <f t="shared" ca="1" si="102"/>
        <v>0</v>
      </c>
      <c r="O60" s="17">
        <f t="shared" ca="1" si="102"/>
        <v>0</v>
      </c>
      <c r="P60" s="17">
        <f t="shared" ca="1" si="102"/>
        <v>0</v>
      </c>
      <c r="Q60" s="17">
        <f t="shared" ca="1" si="102"/>
        <v>0</v>
      </c>
      <c r="R60" s="17">
        <f t="shared" ca="1" si="102"/>
        <v>0</v>
      </c>
      <c r="S60" s="17">
        <f t="shared" ca="1" si="102"/>
        <v>0</v>
      </c>
      <c r="T60" s="17">
        <f t="shared" ca="1" si="102"/>
        <v>0</v>
      </c>
      <c r="U60" s="17">
        <f t="shared" ca="1" si="102"/>
        <v>0</v>
      </c>
      <c r="V60" s="17">
        <f t="shared" ca="1" si="102"/>
        <v>0</v>
      </c>
      <c r="W60" s="17">
        <f t="shared" ca="1" si="102"/>
        <v>0</v>
      </c>
      <c r="X60" s="17">
        <f t="shared" ca="1" si="102"/>
        <v>0</v>
      </c>
      <c r="Y60" s="17">
        <f t="shared" ca="1" si="102"/>
        <v>0</v>
      </c>
      <c r="Z60" s="17">
        <f t="shared" ca="1" si="102"/>
        <v>0</v>
      </c>
      <c r="AA60" s="17">
        <f t="shared" ca="1" si="102"/>
        <v>0</v>
      </c>
      <c r="AB60" s="17">
        <f t="shared" ca="1" si="102"/>
        <v>0</v>
      </c>
      <c r="AC60" s="17">
        <f t="shared" ca="1" si="102"/>
        <v>0</v>
      </c>
      <c r="AD60" s="17">
        <f t="shared" ca="1" si="102"/>
        <v>0</v>
      </c>
      <c r="AE60" s="17">
        <f t="shared" ca="1" si="102"/>
        <v>0</v>
      </c>
      <c r="AF60" s="17">
        <f t="shared" ca="1" si="102"/>
        <v>0</v>
      </c>
      <c r="AG60" s="17">
        <f t="shared" ca="1" si="102"/>
        <v>0</v>
      </c>
      <c r="AH60" s="17">
        <f t="shared" ca="1" si="102"/>
        <v>0</v>
      </c>
      <c r="AI60" s="17">
        <f t="shared" ca="1" si="102"/>
        <v>0</v>
      </c>
      <c r="AJ60" s="17">
        <f t="shared" ca="1" si="102"/>
        <v>0</v>
      </c>
      <c r="AK60" s="17">
        <f t="shared" ca="1" si="102"/>
        <v>0</v>
      </c>
      <c r="AL60" s="17">
        <f t="shared" ca="1" si="102"/>
        <v>0</v>
      </c>
      <c r="AM60" s="17">
        <f t="shared" ca="1" si="102"/>
        <v>0</v>
      </c>
      <c r="AN60" s="17">
        <f t="shared" ca="1" si="102"/>
        <v>0</v>
      </c>
      <c r="AO60" s="17">
        <f t="shared" ref="AO60:AW60" ca="1" si="103">SUM(AO57:AO59)</f>
        <v>0</v>
      </c>
      <c r="AP60" s="17">
        <f t="shared" ca="1" si="103"/>
        <v>0</v>
      </c>
      <c r="AQ60" s="17">
        <f t="shared" ca="1" si="103"/>
        <v>0</v>
      </c>
      <c r="AR60" s="17">
        <f t="shared" ca="1" si="103"/>
        <v>0</v>
      </c>
      <c r="AS60" s="17">
        <f t="shared" ca="1" si="103"/>
        <v>0</v>
      </c>
      <c r="AT60" s="17">
        <f t="shared" ca="1" si="103"/>
        <v>0</v>
      </c>
      <c r="AU60" s="17">
        <f t="shared" ca="1" si="103"/>
        <v>0</v>
      </c>
      <c r="AV60" s="17">
        <f t="shared" ca="1" si="103"/>
        <v>0</v>
      </c>
      <c r="AW60" s="17">
        <f t="shared" ca="1" si="103"/>
        <v>0</v>
      </c>
      <c r="AX60" s="17">
        <f t="shared" ref="AX60:BK60" ca="1" si="104">SUM(AX57:AX59)</f>
        <v>0</v>
      </c>
      <c r="AY60" s="17">
        <f t="shared" ca="1" si="104"/>
        <v>0</v>
      </c>
      <c r="AZ60" s="17">
        <f t="shared" ca="1" si="104"/>
        <v>0</v>
      </c>
      <c r="BA60" s="17">
        <f t="shared" ca="1" si="104"/>
        <v>0</v>
      </c>
      <c r="BB60" s="17">
        <f t="shared" ca="1" si="104"/>
        <v>0</v>
      </c>
      <c r="BC60" s="17">
        <f t="shared" ca="1" si="104"/>
        <v>0</v>
      </c>
      <c r="BD60" s="17">
        <f t="shared" ca="1" si="104"/>
        <v>0</v>
      </c>
      <c r="BE60" s="17">
        <f t="shared" ca="1" si="104"/>
        <v>0</v>
      </c>
      <c r="BF60" s="17">
        <f t="shared" ca="1" si="104"/>
        <v>0</v>
      </c>
      <c r="BG60" s="17">
        <f t="shared" ca="1" si="104"/>
        <v>0</v>
      </c>
      <c r="BH60" s="17">
        <f t="shared" ca="1" si="104"/>
        <v>0</v>
      </c>
      <c r="BI60" s="17">
        <f t="shared" ca="1" si="104"/>
        <v>0</v>
      </c>
      <c r="BJ60" s="17">
        <f t="shared" ca="1" si="104"/>
        <v>0</v>
      </c>
      <c r="BK60" s="17">
        <f t="shared" ca="1" si="104"/>
        <v>0</v>
      </c>
    </row>
    <row r="61" spans="1:63">
      <c r="A61" s="11"/>
      <c r="B61" s="100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</row>
    <row r="62" spans="1:63">
      <c r="A62" s="329" t="s">
        <v>234</v>
      </c>
      <c r="B62" s="329"/>
      <c r="C62" s="329"/>
      <c r="D62" s="329"/>
      <c r="E62" s="329"/>
      <c r="F62" s="329"/>
      <c r="G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  <c r="AF62" s="329"/>
      <c r="AG62" s="329"/>
      <c r="AH62" s="329"/>
      <c r="AI62" s="329"/>
      <c r="AJ62" s="329"/>
      <c r="AK62" s="329"/>
      <c r="AL62" s="329"/>
      <c r="AM62" s="329"/>
      <c r="AN62" s="329"/>
      <c r="AO62" s="329"/>
      <c r="AP62" s="329"/>
      <c r="AQ62" s="329"/>
      <c r="AR62" s="329"/>
      <c r="AS62" s="329"/>
      <c r="AT62" s="329"/>
      <c r="AU62" s="329"/>
      <c r="AV62" s="329"/>
      <c r="AW62" s="329"/>
      <c r="AX62" s="329"/>
      <c r="AY62" s="329"/>
      <c r="AZ62" s="329"/>
      <c r="BA62" s="329"/>
      <c r="BB62" s="329"/>
      <c r="BC62" s="329"/>
      <c r="BD62" s="329"/>
      <c r="BE62" s="329"/>
      <c r="BF62" s="329"/>
      <c r="BG62" s="329"/>
      <c r="BH62" s="329"/>
      <c r="BI62" s="329"/>
      <c r="BJ62" s="329"/>
      <c r="BK62" s="329"/>
    </row>
    <row r="63" spans="1:63"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</row>
    <row r="64" spans="1:63">
      <c r="A64" s="11" t="s">
        <v>235</v>
      </c>
      <c r="C64" s="22">
        <f>IF(AND(C8&gt;=Inputs!$S$94,C8&lt;=Inputs!$S$95),1/(Inputs!$S$95-Inputs!$S$94+1),0)</f>
        <v>0</v>
      </c>
      <c r="D64" s="22">
        <f>IF(AND(D8&gt;=Inputs!$S$94,D8&lt;=Inputs!$S$95),1/(Inputs!$S$95-Inputs!$S$94+1),0)</f>
        <v>0</v>
      </c>
      <c r="E64" s="22">
        <f>IF(AND(E8&gt;=Inputs!$S$94,E8&lt;=Inputs!$S$95),1/(Inputs!$S$95-Inputs!$S$94+1),0)</f>
        <v>0</v>
      </c>
      <c r="F64" s="22">
        <f>IF(AND(F8&gt;=Inputs!$S$94,F8&lt;=Inputs!$S$95),1/(Inputs!$S$95-Inputs!$S$94+1),0)</f>
        <v>0</v>
      </c>
      <c r="G64" s="22">
        <f>IF(AND(G8&gt;=Inputs!$S$94,G8&lt;=Inputs!$S$95),1/(Inputs!$S$95-Inputs!$S$94+1),0)</f>
        <v>0</v>
      </c>
      <c r="H64" s="22">
        <f>IF(AND(H8&gt;=Inputs!$S$94,H8&lt;=Inputs!$S$95),1/(Inputs!$S$95-Inputs!$S$94+1),0)</f>
        <v>0</v>
      </c>
      <c r="I64" s="22">
        <f>IF(AND(I8&gt;=Inputs!$S$94,I8&lt;=Inputs!$S$95),1/(Inputs!$S$95-Inputs!$S$94+1),0)</f>
        <v>0</v>
      </c>
      <c r="J64" s="22">
        <f>IF(AND(J8&gt;=Inputs!$S$94,J8&lt;=Inputs!$S$95),1/(Inputs!$S$95-Inputs!$S$94+1),0)</f>
        <v>0</v>
      </c>
      <c r="K64" s="22">
        <f>IF(AND(K8&gt;=Inputs!$S$94,K8&lt;=Inputs!$S$95),1/(Inputs!$S$95-Inputs!$S$94+1),0)</f>
        <v>0</v>
      </c>
      <c r="L64" s="22">
        <f>IF(AND(L8&gt;=Inputs!$S$94,L8&lt;=Inputs!$S$95),1/(Inputs!$S$95-Inputs!$S$94+1),0)</f>
        <v>0</v>
      </c>
      <c r="M64" s="22">
        <f>IF(AND(M8&gt;=Inputs!$S$94,M8&lt;=Inputs!$S$95),1/(Inputs!$S$95-Inputs!$S$94+1),0)</f>
        <v>0</v>
      </c>
      <c r="N64" s="22">
        <f>IF(AND(N8&gt;=Inputs!$S$94,N8&lt;=Inputs!$S$95),1/(Inputs!$S$95-Inputs!$S$94+1),0)</f>
        <v>0</v>
      </c>
      <c r="O64" s="22">
        <f>IF(AND(O8&gt;=Inputs!$S$94,O8&lt;=Inputs!$S$95),1/(Inputs!$S$95-Inputs!$S$94+1),0)</f>
        <v>0</v>
      </c>
      <c r="P64" s="22">
        <f>IF(AND(P8&gt;=Inputs!$S$94,P8&lt;=Inputs!$S$95),1/(Inputs!$S$95-Inputs!$S$94+1),0)</f>
        <v>0</v>
      </c>
      <c r="Q64" s="22">
        <f>IF(AND(Q8&gt;=Inputs!$S$94,Q8&lt;=Inputs!$S$95),1/(Inputs!$S$95-Inputs!$S$94+1),0)</f>
        <v>0</v>
      </c>
      <c r="R64" s="22">
        <f>IF(AND(R8&gt;=Inputs!$S$94,R8&lt;=Inputs!$S$95),1/(Inputs!$S$95-Inputs!$S$94+1),0)</f>
        <v>0</v>
      </c>
      <c r="S64" s="22">
        <f>IF(AND(S8&gt;=Inputs!$S$94,S8&lt;=Inputs!$S$95),1/(Inputs!$S$95-Inputs!$S$94+1),0)</f>
        <v>0</v>
      </c>
      <c r="T64" s="22">
        <f>IF(AND(T8&gt;=Inputs!$S$94,T8&lt;=Inputs!$S$95),1/(Inputs!$S$95-Inputs!$S$94+1),0)</f>
        <v>0</v>
      </c>
      <c r="U64" s="22">
        <f>IF(AND(U8&gt;=Inputs!$S$94,U8&lt;=Inputs!$S$95),1/(Inputs!$S$95-Inputs!$S$94+1),0)</f>
        <v>0</v>
      </c>
      <c r="V64" s="22">
        <f>IF(AND(V8&gt;=Inputs!$S$94,V8&lt;=Inputs!$S$95),1/(Inputs!$S$95-Inputs!$S$94+1),0)</f>
        <v>0</v>
      </c>
      <c r="W64" s="22">
        <f>IF(AND(W8&gt;=Inputs!$S$94,W8&lt;=Inputs!$S$95),1/(Inputs!$S$95-Inputs!$S$94+1),0)</f>
        <v>0</v>
      </c>
      <c r="X64" s="22">
        <f>IF(AND(X8&gt;=Inputs!$S$94,X8&lt;=Inputs!$S$95),1/(Inputs!$S$95-Inputs!$S$94+1),0)</f>
        <v>0</v>
      </c>
      <c r="Y64" s="22">
        <f>IF(AND(Y8&gt;=Inputs!$S$94,Y8&lt;=Inputs!$S$95),1/(Inputs!$S$95-Inputs!$S$94+1),0)</f>
        <v>0</v>
      </c>
      <c r="Z64" s="22">
        <f>IF(AND(Z8&gt;=Inputs!$S$94,Z8&lt;=Inputs!$S$95),1/(Inputs!$S$95-Inputs!$S$94+1),0)</f>
        <v>0</v>
      </c>
      <c r="AA64" s="22">
        <f>IF(AND(AA8&gt;=Inputs!$S$94,AA8&lt;=Inputs!$S$95),1/(Inputs!$S$95-Inputs!$S$94+1),0)</f>
        <v>0</v>
      </c>
      <c r="AB64" s="22">
        <f>IF(AND(AB8&gt;=Inputs!$S$94,AB8&lt;=Inputs!$S$95),1/(Inputs!$S$95-Inputs!$S$94+1),0)</f>
        <v>0</v>
      </c>
      <c r="AC64" s="22">
        <f>IF(AND(AC8&gt;=Inputs!$S$94,AC8&lt;=Inputs!$S$95),1/(Inputs!$S$95-Inputs!$S$94+1),0)</f>
        <v>0</v>
      </c>
      <c r="AD64" s="22">
        <f>IF(AND(AD8&gt;=Inputs!$S$94,AD8&lt;=Inputs!$S$95),1/(Inputs!$S$95-Inputs!$S$94+1),0)</f>
        <v>8.3333333333333329E-2</v>
      </c>
      <c r="AE64" s="22">
        <f>IF(AND(AE8&gt;=Inputs!$S$94,AE8&lt;=Inputs!$S$95),1/(Inputs!$S$95-Inputs!$S$94+1),0)</f>
        <v>8.3333333333333329E-2</v>
      </c>
      <c r="AF64" s="22">
        <f>IF(AND(AF8&gt;=Inputs!$S$94,AF8&lt;=Inputs!$S$95),1/(Inputs!$S$95-Inputs!$S$94+1),0)</f>
        <v>8.3333333333333329E-2</v>
      </c>
      <c r="AG64" s="22">
        <f>IF(AND(AG8&gt;=Inputs!$S$94,AG8&lt;=Inputs!$S$95),1/(Inputs!$S$95-Inputs!$S$94+1),0)</f>
        <v>8.3333333333333329E-2</v>
      </c>
      <c r="AH64" s="22">
        <f>IF(AND(AH8&gt;=Inputs!$S$94,AH8&lt;=Inputs!$S$95),1/(Inputs!$S$95-Inputs!$S$94+1),0)</f>
        <v>8.3333333333333329E-2</v>
      </c>
      <c r="AI64" s="22">
        <f>IF(AND(AI8&gt;=Inputs!$S$94,AI8&lt;=Inputs!$S$95),1/(Inputs!$S$95-Inputs!$S$94+1),0)</f>
        <v>8.3333333333333329E-2</v>
      </c>
      <c r="AJ64" s="22">
        <f>IF(AND(AJ8&gt;=Inputs!$S$94,AJ8&lt;=Inputs!$S$95),1/(Inputs!$S$95-Inputs!$S$94+1),0)</f>
        <v>8.3333333333333329E-2</v>
      </c>
      <c r="AK64" s="22">
        <f>IF(AND(AK8&gt;=Inputs!$S$94,AK8&lt;=Inputs!$S$95),1/(Inputs!$S$95-Inputs!$S$94+1),0)</f>
        <v>8.3333333333333329E-2</v>
      </c>
      <c r="AL64" s="22">
        <f>IF(AND(AL8&gt;=Inputs!$S$94,AL8&lt;=Inputs!$S$95),1/(Inputs!$S$95-Inputs!$S$94+1),0)</f>
        <v>8.3333333333333329E-2</v>
      </c>
      <c r="AM64" s="22">
        <f>IF(AND(AM8&gt;=Inputs!$S$94,AM8&lt;=Inputs!$S$95),1/(Inputs!$S$95-Inputs!$S$94+1),0)</f>
        <v>8.3333333333333329E-2</v>
      </c>
      <c r="AN64" s="22">
        <f>IF(AND(AN8&gt;=Inputs!$S$94,AN8&lt;=Inputs!$S$95),1/(Inputs!$S$95-Inputs!$S$94+1),0)</f>
        <v>8.3333333333333329E-2</v>
      </c>
      <c r="AO64" s="22">
        <f>IF(AND(AO8&gt;=Inputs!$S$94,AO8&lt;=Inputs!$S$95),1/(Inputs!$S$95-Inputs!$S$94+1),0)</f>
        <v>8.3333333333333329E-2</v>
      </c>
      <c r="AP64" s="22">
        <f>IF(AND(AP8&gt;=Inputs!$S$94,AP8&lt;=Inputs!$S$95),1/(Inputs!$S$95-Inputs!$S$94+1),0)</f>
        <v>0</v>
      </c>
      <c r="AQ64" s="22">
        <f>IF(AND(AQ8&gt;=Inputs!$S$94,AQ8&lt;=Inputs!$S$95),1/(Inputs!$S$95-Inputs!$S$94+1),0)</f>
        <v>0</v>
      </c>
      <c r="AR64" s="22">
        <f>IF(AND(AR8&gt;=Inputs!$S$94,AR8&lt;=Inputs!$S$95),1/(Inputs!$S$95-Inputs!$S$94+1),0)</f>
        <v>0</v>
      </c>
      <c r="AS64" s="22">
        <f>IF(AND(AS8&gt;=Inputs!$S$94,AS8&lt;=Inputs!$S$95),1/(Inputs!$S$95-Inputs!$S$94+1),0)</f>
        <v>0</v>
      </c>
      <c r="AT64" s="22">
        <f>IF(AND(AT8&gt;=Inputs!$S$94,AT8&lt;=Inputs!$S$95),1/(Inputs!$S$95-Inputs!$S$94+1),0)</f>
        <v>0</v>
      </c>
      <c r="AU64" s="22">
        <f>IF(AND(AU8&gt;=Inputs!$S$94,AU8&lt;=Inputs!$S$95),1/(Inputs!$S$95-Inputs!$S$94+1),0)</f>
        <v>0</v>
      </c>
      <c r="AV64" s="22">
        <f>IF(AND(AV8&gt;=Inputs!$S$94,AV8&lt;=Inputs!$S$95),1/(Inputs!$S$95-Inputs!$S$94+1),0)</f>
        <v>0</v>
      </c>
      <c r="AW64" s="22">
        <f>IF(AND(AW8&gt;=Inputs!$S$94,AW8&lt;=Inputs!$S$95),1/(Inputs!$S$95-Inputs!$S$94+1),0)</f>
        <v>0</v>
      </c>
      <c r="AX64" s="22">
        <f>IF(AND(AX8&gt;=Inputs!$S$94,AX8&lt;=Inputs!$S$95),1/(Inputs!$S$95-Inputs!$S$94+1),0)</f>
        <v>0</v>
      </c>
      <c r="AY64" s="22">
        <f>IF(AND(AY8&gt;=Inputs!$S$94,AY8&lt;=Inputs!$S$95),1/(Inputs!$S$95-Inputs!$S$94+1),0)</f>
        <v>0</v>
      </c>
      <c r="AZ64" s="22">
        <f>IF(AND(AZ8&gt;=Inputs!$S$94,AZ8&lt;=Inputs!$S$95),1/(Inputs!$S$95-Inputs!$S$94+1),0)</f>
        <v>0</v>
      </c>
      <c r="BA64" s="22">
        <f>IF(AND(BA8&gt;=Inputs!$S$94,BA8&lt;=Inputs!$S$95),1/(Inputs!$S$95-Inputs!$S$94+1),0)</f>
        <v>0</v>
      </c>
      <c r="BB64" s="22">
        <f>IF(AND(BB8&gt;=Inputs!$S$94,BB8&lt;=Inputs!$S$95),1/(Inputs!$S$95-Inputs!$S$94+1),0)</f>
        <v>0</v>
      </c>
      <c r="BC64" s="22">
        <f>IF(AND(BC8&gt;=Inputs!$S$94,BC8&lt;=Inputs!$S$95),1/(Inputs!$S$95-Inputs!$S$94+1),0)</f>
        <v>0</v>
      </c>
      <c r="BD64" s="22">
        <f>IF(AND(BD8&gt;=Inputs!$S$94,BD8&lt;=Inputs!$S$95),1/(Inputs!$S$95-Inputs!$S$94+1),0)</f>
        <v>0</v>
      </c>
      <c r="BE64" s="22">
        <f>IF(AND(BE8&gt;=Inputs!$S$94,BE8&lt;=Inputs!$S$95),1/(Inputs!$S$95-Inputs!$S$94+1),0)</f>
        <v>0</v>
      </c>
      <c r="BF64" s="22">
        <f>IF(AND(BF8&gt;=Inputs!$S$94,BF8&lt;=Inputs!$S$95),1/(Inputs!$S$95-Inputs!$S$94+1),0)</f>
        <v>0</v>
      </c>
      <c r="BG64" s="22">
        <f>IF(AND(BG8&gt;=Inputs!$S$94,BG8&lt;=Inputs!$S$95),1/(Inputs!$S$95-Inputs!$S$94+1),0)</f>
        <v>0</v>
      </c>
      <c r="BH64" s="22">
        <f>IF(AND(BH8&gt;=Inputs!$S$94,BH8&lt;=Inputs!$S$95),1/(Inputs!$S$95-Inputs!$S$94+1),0)</f>
        <v>0</v>
      </c>
      <c r="BI64" s="22">
        <f>IF(AND(BI8&gt;=Inputs!$S$94,BI8&lt;=Inputs!$S$95),1/(Inputs!$S$95-Inputs!$S$94+1),0)</f>
        <v>0</v>
      </c>
      <c r="BJ64" s="22">
        <f>IF(AND(BJ8&gt;=Inputs!$S$94,BJ8&lt;=Inputs!$S$95),1/(Inputs!$S$95-Inputs!$S$94+1),0)</f>
        <v>0</v>
      </c>
      <c r="BK64" s="22">
        <f>IF(AND(BK8&gt;=Inputs!$S$94,BK8&lt;=Inputs!$S$95),1/(Inputs!$S$95-Inputs!$S$94+1),0)</f>
        <v>0</v>
      </c>
    </row>
    <row r="65" spans="1:63">
      <c r="A65" s="11" t="s">
        <v>236</v>
      </c>
      <c r="C65" s="22">
        <f>C64+B65</f>
        <v>0</v>
      </c>
      <c r="D65" s="22">
        <f t="shared" ref="D65:BK65" si="105">D64+C65</f>
        <v>0</v>
      </c>
      <c r="E65" s="22">
        <f t="shared" si="105"/>
        <v>0</v>
      </c>
      <c r="F65" s="22">
        <f t="shared" si="105"/>
        <v>0</v>
      </c>
      <c r="G65" s="22">
        <f t="shared" si="105"/>
        <v>0</v>
      </c>
      <c r="H65" s="22">
        <f t="shared" si="105"/>
        <v>0</v>
      </c>
      <c r="I65" s="22">
        <f t="shared" si="105"/>
        <v>0</v>
      </c>
      <c r="J65" s="22">
        <f t="shared" si="105"/>
        <v>0</v>
      </c>
      <c r="K65" s="22">
        <f t="shared" si="105"/>
        <v>0</v>
      </c>
      <c r="L65" s="22">
        <f t="shared" si="105"/>
        <v>0</v>
      </c>
      <c r="M65" s="22">
        <f t="shared" si="105"/>
        <v>0</v>
      </c>
      <c r="N65" s="22">
        <f t="shared" si="105"/>
        <v>0</v>
      </c>
      <c r="O65" s="22">
        <f t="shared" si="105"/>
        <v>0</v>
      </c>
      <c r="P65" s="22">
        <f t="shared" si="105"/>
        <v>0</v>
      </c>
      <c r="Q65" s="22">
        <f t="shared" si="105"/>
        <v>0</v>
      </c>
      <c r="R65" s="22">
        <f t="shared" si="105"/>
        <v>0</v>
      </c>
      <c r="S65" s="22">
        <f t="shared" si="105"/>
        <v>0</v>
      </c>
      <c r="T65" s="22">
        <f t="shared" si="105"/>
        <v>0</v>
      </c>
      <c r="U65" s="22">
        <f t="shared" si="105"/>
        <v>0</v>
      </c>
      <c r="V65" s="22">
        <f t="shared" si="105"/>
        <v>0</v>
      </c>
      <c r="W65" s="22">
        <f t="shared" si="105"/>
        <v>0</v>
      </c>
      <c r="X65" s="22">
        <f t="shared" si="105"/>
        <v>0</v>
      </c>
      <c r="Y65" s="22">
        <f t="shared" si="105"/>
        <v>0</v>
      </c>
      <c r="Z65" s="22">
        <f t="shared" si="105"/>
        <v>0</v>
      </c>
      <c r="AA65" s="22">
        <f t="shared" si="105"/>
        <v>0</v>
      </c>
      <c r="AB65" s="22">
        <f t="shared" si="105"/>
        <v>0</v>
      </c>
      <c r="AC65" s="22">
        <f t="shared" si="105"/>
        <v>0</v>
      </c>
      <c r="AD65" s="22">
        <f t="shared" si="105"/>
        <v>8.3333333333333329E-2</v>
      </c>
      <c r="AE65" s="22">
        <f t="shared" si="105"/>
        <v>0.16666666666666666</v>
      </c>
      <c r="AF65" s="22">
        <f t="shared" si="105"/>
        <v>0.25</v>
      </c>
      <c r="AG65" s="22">
        <f t="shared" si="105"/>
        <v>0.33333333333333331</v>
      </c>
      <c r="AH65" s="22">
        <f t="shared" si="105"/>
        <v>0.41666666666666663</v>
      </c>
      <c r="AI65" s="22">
        <f t="shared" si="105"/>
        <v>0.49999999999999994</v>
      </c>
      <c r="AJ65" s="22">
        <f t="shared" si="105"/>
        <v>0.58333333333333326</v>
      </c>
      <c r="AK65" s="22">
        <f t="shared" si="105"/>
        <v>0.66666666666666663</v>
      </c>
      <c r="AL65" s="22">
        <f t="shared" si="105"/>
        <v>0.75</v>
      </c>
      <c r="AM65" s="22">
        <f t="shared" si="105"/>
        <v>0.83333333333333337</v>
      </c>
      <c r="AN65" s="22">
        <f t="shared" si="105"/>
        <v>0.91666666666666674</v>
      </c>
      <c r="AO65" s="22">
        <f t="shared" si="105"/>
        <v>1</v>
      </c>
      <c r="AP65" s="22">
        <f t="shared" si="105"/>
        <v>1</v>
      </c>
      <c r="AQ65" s="22">
        <f t="shared" si="105"/>
        <v>1</v>
      </c>
      <c r="AR65" s="22">
        <f t="shared" si="105"/>
        <v>1</v>
      </c>
      <c r="AS65" s="22">
        <f t="shared" si="105"/>
        <v>1</v>
      </c>
      <c r="AT65" s="22">
        <f t="shared" si="105"/>
        <v>1</v>
      </c>
      <c r="AU65" s="22">
        <f t="shared" si="105"/>
        <v>1</v>
      </c>
      <c r="AV65" s="22">
        <f t="shared" si="105"/>
        <v>1</v>
      </c>
      <c r="AW65" s="22">
        <f t="shared" si="105"/>
        <v>1</v>
      </c>
      <c r="AX65" s="22">
        <f t="shared" si="105"/>
        <v>1</v>
      </c>
      <c r="AY65" s="22">
        <f t="shared" si="105"/>
        <v>1</v>
      </c>
      <c r="AZ65" s="22">
        <f t="shared" si="105"/>
        <v>1</v>
      </c>
      <c r="BA65" s="22">
        <f t="shared" si="105"/>
        <v>1</v>
      </c>
      <c r="BB65" s="22">
        <f t="shared" si="105"/>
        <v>1</v>
      </c>
      <c r="BC65" s="22">
        <f t="shared" si="105"/>
        <v>1</v>
      </c>
      <c r="BD65" s="22">
        <f t="shared" si="105"/>
        <v>1</v>
      </c>
      <c r="BE65" s="22">
        <f t="shared" si="105"/>
        <v>1</v>
      </c>
      <c r="BF65" s="22">
        <f t="shared" si="105"/>
        <v>1</v>
      </c>
      <c r="BG65" s="22">
        <f t="shared" si="105"/>
        <v>1</v>
      </c>
      <c r="BH65" s="22">
        <f t="shared" si="105"/>
        <v>1</v>
      </c>
      <c r="BI65" s="22">
        <f t="shared" si="105"/>
        <v>1</v>
      </c>
      <c r="BJ65" s="22">
        <f t="shared" si="105"/>
        <v>1</v>
      </c>
      <c r="BK65" s="22">
        <f t="shared" si="105"/>
        <v>1</v>
      </c>
    </row>
    <row r="66" spans="1:63">
      <c r="A66" s="11" t="s">
        <v>237</v>
      </c>
      <c r="B66" s="31">
        <f>Inputs!S96</f>
        <v>38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</row>
    <row r="67" spans="1:63">
      <c r="A67" s="11"/>
      <c r="B67" s="31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</row>
    <row r="68" spans="1:63">
      <c r="A68" s="11" t="s">
        <v>238</v>
      </c>
      <c r="C68" s="7">
        <f>IF(C$8&lt;=$B$66,C65*INDEX(Inputs!$W$13:$AF$13,MATCH('Cash Flow - Traditional'!C10,Inputs!$W$6:$AF$6,0))/12,0)</f>
        <v>0</v>
      </c>
      <c r="D68" s="7">
        <f>IF(D$8&lt;=$B$66,D65*INDEX(Inputs!$W$13:$AF$13,MATCH('Cash Flow - Traditional'!D10,Inputs!$W$6:$AF$6,0))/12,0)</f>
        <v>0</v>
      </c>
      <c r="E68" s="7">
        <f>IF(E$8&lt;=$B$66,E65*INDEX(Inputs!$W$13:$AF$13,MATCH('Cash Flow - Traditional'!E10,Inputs!$W$6:$AF$6,0))/12,0)</f>
        <v>0</v>
      </c>
      <c r="F68" s="7">
        <f>IF(F$8&lt;=$B$66,F65*INDEX(Inputs!$W$13:$AF$13,MATCH('Cash Flow - Traditional'!F10,Inputs!$W$6:$AF$6,0))/12,0)</f>
        <v>0</v>
      </c>
      <c r="G68" s="7">
        <f>IF(G$8&lt;=$B$66,G65*INDEX(Inputs!$W$13:$AF$13,MATCH('Cash Flow - Traditional'!G10,Inputs!$W$6:$AF$6,0))/12,0)</f>
        <v>0</v>
      </c>
      <c r="H68" s="7">
        <f>IF(H$8&lt;=$B$66,H65*INDEX(Inputs!$W$13:$AF$13,MATCH('Cash Flow - Traditional'!H10,Inputs!$W$6:$AF$6,0))/12,0)</f>
        <v>0</v>
      </c>
      <c r="I68" s="7">
        <f>IF(I$8&lt;=$B$66,I65*INDEX(Inputs!$W$13:$AF$13,MATCH('Cash Flow - Traditional'!I10,Inputs!$W$6:$AF$6,0))/12,0)</f>
        <v>0</v>
      </c>
      <c r="J68" s="7">
        <f>IF(J$8&lt;=$B$66,J65*INDEX(Inputs!$W$13:$AF$13,MATCH('Cash Flow - Traditional'!J10,Inputs!$W$6:$AF$6,0))/12,0)</f>
        <v>0</v>
      </c>
      <c r="K68" s="7">
        <f>IF(K$8&lt;=$B$66,K65*INDEX(Inputs!$W$13:$AF$13,MATCH('Cash Flow - Traditional'!K10,Inputs!$W$6:$AF$6,0))/12,0)</f>
        <v>0</v>
      </c>
      <c r="L68" s="7">
        <f>IF(L$8&lt;=$B$66,L65*INDEX(Inputs!$W$13:$AF$13,MATCH('Cash Flow - Traditional'!L10,Inputs!$W$6:$AF$6,0))/12,0)</f>
        <v>0</v>
      </c>
      <c r="M68" s="7">
        <f>IF(M$8&lt;=$B$66,M65*INDEX(Inputs!$W$13:$AF$13,MATCH('Cash Flow - Traditional'!M10,Inputs!$W$6:$AF$6,0))/12,0)</f>
        <v>0</v>
      </c>
      <c r="N68" s="7">
        <f>IF(N$8&lt;=$B$66,N65*INDEX(Inputs!$W$13:$AF$13,MATCH('Cash Flow - Traditional'!N10,Inputs!$W$6:$AF$6,0))/12,0)</f>
        <v>0</v>
      </c>
      <c r="O68" s="7">
        <f>IF(O$8&lt;=$B$66,O65*INDEX(Inputs!$W$13:$AF$13,MATCH('Cash Flow - Traditional'!O10,Inputs!$W$6:$AF$6,0))/12,0)</f>
        <v>0</v>
      </c>
      <c r="P68" s="7">
        <f>IF(P$8&lt;=$B$66,P65*INDEX(Inputs!$W$13:$AF$13,MATCH('Cash Flow - Traditional'!P10,Inputs!$W$6:$AF$6,0))/12,0)</f>
        <v>0</v>
      </c>
      <c r="Q68" s="7">
        <f>IF(Q$8&lt;=$B$66,Q65*INDEX(Inputs!$W$13:$AF$13,MATCH('Cash Flow - Traditional'!Q10,Inputs!$W$6:$AF$6,0))/12,0)</f>
        <v>0</v>
      </c>
      <c r="R68" s="7">
        <f>IF(R$8&lt;=$B$66,R65*INDEX(Inputs!$W$13:$AF$13,MATCH('Cash Flow - Traditional'!R10,Inputs!$W$6:$AF$6,0))/12,0)</f>
        <v>0</v>
      </c>
      <c r="S68" s="7">
        <f>IF(S$8&lt;=$B$66,S65*INDEX(Inputs!$W$13:$AF$13,MATCH('Cash Flow - Traditional'!S10,Inputs!$W$6:$AF$6,0))/12,0)</f>
        <v>0</v>
      </c>
      <c r="T68" s="7">
        <f>IF(T$8&lt;=$B$66,T65*INDEX(Inputs!$W$13:$AF$13,MATCH('Cash Flow - Traditional'!T10,Inputs!$W$6:$AF$6,0))/12,0)</f>
        <v>0</v>
      </c>
      <c r="U68" s="7">
        <f>IF(U$8&lt;=$B$66,U65*INDEX(Inputs!$W$13:$AF$13,MATCH('Cash Flow - Traditional'!U10,Inputs!$W$6:$AF$6,0))/12,0)</f>
        <v>0</v>
      </c>
      <c r="V68" s="7">
        <f>IF(V$8&lt;=$B$66,V65*INDEX(Inputs!$W$13:$AF$13,MATCH('Cash Flow - Traditional'!V10,Inputs!$W$6:$AF$6,0))/12,0)</f>
        <v>0</v>
      </c>
      <c r="W68" s="7">
        <f>IF(W$8&lt;=$B$66,W65*INDEX(Inputs!$W$13:$AF$13,MATCH('Cash Flow - Traditional'!W10,Inputs!$W$6:$AF$6,0))/12,0)</f>
        <v>0</v>
      </c>
      <c r="X68" s="7">
        <f>IF(X$8&lt;=$B$66,X65*INDEX(Inputs!$W$13:$AF$13,MATCH('Cash Flow - Traditional'!X10,Inputs!$W$6:$AF$6,0))/12,0)</f>
        <v>0</v>
      </c>
      <c r="Y68" s="7">
        <f>IF(Y$8&lt;=$B$66,Y65*INDEX(Inputs!$W$13:$AF$13,MATCH('Cash Flow - Traditional'!Y10,Inputs!$W$6:$AF$6,0))/12,0)</f>
        <v>0</v>
      </c>
      <c r="Z68" s="7">
        <f>IF(Z$8&lt;=$B$66,Z65*INDEX(Inputs!$W$13:$AF$13,MATCH('Cash Flow - Traditional'!Z10,Inputs!$W$6:$AF$6,0))/12,0)</f>
        <v>0</v>
      </c>
      <c r="AA68" s="7">
        <f>IF(AA$8&lt;=$B$66,AA65*INDEX(Inputs!$W$13:$AF$13,MATCH('Cash Flow - Traditional'!AA10,Inputs!$W$6:$AF$6,0))/12,0)</f>
        <v>0</v>
      </c>
      <c r="AB68" s="7">
        <f>IF(AB$8&lt;=$B$66,AB65*INDEX(Inputs!$W$13:$AF$13,MATCH('Cash Flow - Traditional'!AB10,Inputs!$W$6:$AF$6,0))/12,0)</f>
        <v>0</v>
      </c>
      <c r="AC68" s="7">
        <f>IF(AC$8&lt;=$B$66,AC65*INDEX(Inputs!$W$13:$AF$13,MATCH('Cash Flow - Traditional'!AC10,Inputs!$W$6:$AF$6,0))/12,0)</f>
        <v>0</v>
      </c>
      <c r="AD68" s="7">
        <f>IF(AD$8&lt;=$B$66,AD65*INDEX(Inputs!$W$13:$AF$13,MATCH('Cash Flow - Traditional'!AD10,Inputs!$W$6:$AF$6,0))/12,0)</f>
        <v>29677.52916666666</v>
      </c>
      <c r="AE68" s="7">
        <f>IF(AE$8&lt;=$B$66,AE65*INDEX(Inputs!$W$13:$AF$13,MATCH('Cash Flow - Traditional'!AE10,Inputs!$W$6:$AF$6,0))/12,0)</f>
        <v>59355.05833333332</v>
      </c>
      <c r="AF68" s="7">
        <f>IF(AF$8&lt;=$B$66,AF65*INDEX(Inputs!$W$13:$AF$13,MATCH('Cash Flow - Traditional'!AF10,Inputs!$W$6:$AF$6,0))/12,0)</f>
        <v>89032.58749999998</v>
      </c>
      <c r="AG68" s="7">
        <f>IF(AG$8&lt;=$B$66,AG65*INDEX(Inputs!$W$13:$AF$13,MATCH('Cash Flow - Traditional'!AG10,Inputs!$W$6:$AF$6,0))/12,0)</f>
        <v>118710.11666666664</v>
      </c>
      <c r="AH68" s="7">
        <f>IF(AH$8&lt;=$B$66,AH65*INDEX(Inputs!$W$13:$AF$13,MATCH('Cash Flow - Traditional'!AH10,Inputs!$W$6:$AF$6,0))/12,0)</f>
        <v>148387.64583333328</v>
      </c>
      <c r="AI68" s="7">
        <f>IF(AI$8&lt;=$B$66,AI65*INDEX(Inputs!$W$13:$AF$13,MATCH('Cash Flow - Traditional'!AI10,Inputs!$W$6:$AF$6,0))/12,0)</f>
        <v>178065.17499999993</v>
      </c>
      <c r="AJ68" s="7">
        <f>IF(AJ$8&lt;=$B$66,AJ65*INDEX(Inputs!$W$13:$AF$13,MATCH('Cash Flow - Traditional'!AJ10,Inputs!$W$6:$AF$6,0))/12,0)</f>
        <v>207742.7041666666</v>
      </c>
      <c r="AK68" s="7">
        <f>IF(AK$8&lt;=$B$66,AK65*INDEX(Inputs!$W$13:$AF$13,MATCH('Cash Flow - Traditional'!AK10,Inputs!$W$6:$AF$6,0))/12,0)</f>
        <v>237420.23333333328</v>
      </c>
      <c r="AL68" s="7">
        <f>IF(AL$8&lt;=$B$66,AL65*INDEX(Inputs!$W$13:$AF$13,MATCH('Cash Flow - Traditional'!AL10,Inputs!$W$6:$AF$6,0))/12,0)</f>
        <v>267097.76249999995</v>
      </c>
      <c r="AM68" s="7">
        <f>IF(AM$8&lt;=$B$66,AM65*INDEX(Inputs!$W$13:$AF$13,MATCH('Cash Flow - Traditional'!AM10,Inputs!$W$6:$AF$6,0))/12,0)</f>
        <v>296775.29166666663</v>
      </c>
      <c r="AN68" s="7">
        <f>IF(AN$8&lt;=$B$66,AN65*INDEX(Inputs!$W$13:$AF$13,MATCH('Cash Flow - Traditional'!AN10,Inputs!$W$6:$AF$6,0))/12,0)</f>
        <v>334436.11735416658</v>
      </c>
      <c r="AO68" s="7">
        <f>IF(AO$8&lt;=$B$66,AO65*INDEX(Inputs!$W$13:$AF$13,MATCH('Cash Flow - Traditional'!AO10,Inputs!$W$6:$AF$6,0))/12,0)</f>
        <v>364839.40074999986</v>
      </c>
      <c r="AP68" s="7">
        <f>IF(AP$8&lt;=$B$66,AP65*INDEX(Inputs!$W$13:$AF$13,MATCH('Cash Flow - Traditional'!AP10,Inputs!$W$6:$AF$6,0))/12,0)</f>
        <v>0</v>
      </c>
      <c r="AQ68" s="7">
        <f>IF(AQ$8&lt;=$B$66,AQ65*INDEX(Inputs!$W$13:$AF$13,MATCH('Cash Flow - Traditional'!AQ10,Inputs!$W$6:$AF$6,0))/12,0)</f>
        <v>0</v>
      </c>
      <c r="AR68" s="7">
        <f>IF(AR$8&lt;=$B$66,AR65*INDEX(Inputs!$W$13:$AF$13,MATCH('Cash Flow - Traditional'!AR10,Inputs!$W$6:$AF$6,0))/12,0)</f>
        <v>0</v>
      </c>
      <c r="AS68" s="7">
        <f>IF(AS$8&lt;=$B$66,AS65*INDEX(Inputs!$W$13:$AF$13,MATCH('Cash Flow - Traditional'!AS10,Inputs!$W$6:$AF$6,0))/12,0)</f>
        <v>0</v>
      </c>
      <c r="AT68" s="7">
        <f>IF(AT$8&lt;=$B$66,AT65*INDEX(Inputs!$W$13:$AF$13,MATCH('Cash Flow - Traditional'!AT10,Inputs!$W$6:$AF$6,0))/12,0)</f>
        <v>0</v>
      </c>
      <c r="AU68" s="7">
        <f>IF(AU$8&lt;=$B$66,AU65*INDEX(Inputs!$W$13:$AF$13,MATCH('Cash Flow - Traditional'!AU10,Inputs!$W$6:$AF$6,0))/12,0)</f>
        <v>0</v>
      </c>
      <c r="AV68" s="7">
        <f>IF(AV$8&lt;=$B$66,AV65*INDEX(Inputs!$W$13:$AF$13,MATCH('Cash Flow - Traditional'!AV10,Inputs!$W$6:$AF$6,0))/12,0)</f>
        <v>0</v>
      </c>
      <c r="AW68" s="7">
        <f>IF(AW$8&lt;=$B$66,AW65*INDEX(Inputs!$W$13:$AF$13,MATCH('Cash Flow - Traditional'!AW10,Inputs!$W$6:$AF$6,0))/12,0)</f>
        <v>0</v>
      </c>
      <c r="AX68" s="7">
        <f>IF(AX$8&lt;=$B$66,AX65*INDEX(Inputs!$W$13:$AF$13,MATCH('Cash Flow - Traditional'!AX10,Inputs!$W$6:$AF$6,0))/12,0)</f>
        <v>0</v>
      </c>
      <c r="AY68" s="7">
        <f>IF(AY$8&lt;=$B$66,AY65*INDEX(Inputs!$W$13:$AF$13,MATCH('Cash Flow - Traditional'!AY10,Inputs!$W$6:$AF$6,0))/12,0)</f>
        <v>0</v>
      </c>
      <c r="AZ68" s="7">
        <f>IF(AZ$8&lt;=$B$66,AZ65*INDEX(Inputs!$W$13:$AF$13,MATCH('Cash Flow - Traditional'!AZ10,Inputs!$W$6:$AF$6,0))/12,0)</f>
        <v>0</v>
      </c>
      <c r="BA68" s="7">
        <f>IF(BA$8&lt;=$B$66,BA65*INDEX(Inputs!$W$13:$AF$13,MATCH('Cash Flow - Traditional'!BA10,Inputs!$W$6:$AF$6,0))/12,0)</f>
        <v>0</v>
      </c>
      <c r="BB68" s="7">
        <f>IF(BB$8&lt;=$B$66,BB65*INDEX(Inputs!$W$13:$AF$13,MATCH('Cash Flow - Traditional'!BB10,Inputs!$W$6:$AF$6,0))/12,0)</f>
        <v>0</v>
      </c>
      <c r="BC68" s="7">
        <f>IF(BC$8&lt;=$B$66,BC65*INDEX(Inputs!$W$13:$AF$13,MATCH('Cash Flow - Traditional'!BC10,Inputs!$W$6:$AF$6,0))/12,0)</f>
        <v>0</v>
      </c>
      <c r="BD68" s="7">
        <f>IF(BD$8&lt;=$B$66,BD65*INDEX(Inputs!$W$13:$AF$13,MATCH('Cash Flow - Traditional'!BD10,Inputs!$W$6:$AF$6,0))/12,0)</f>
        <v>0</v>
      </c>
      <c r="BE68" s="7">
        <f>IF(BE$8&lt;=$B$66,BE65*INDEX(Inputs!$W$13:$AF$13,MATCH('Cash Flow - Traditional'!BE10,Inputs!$W$6:$AF$6,0))/12,0)</f>
        <v>0</v>
      </c>
      <c r="BF68" s="7">
        <f>IF(BF$8&lt;=$B$66,BF65*INDEX(Inputs!$W$13:$AF$13,MATCH('Cash Flow - Traditional'!BF10,Inputs!$W$6:$AF$6,0))/12,0)</f>
        <v>0</v>
      </c>
      <c r="BG68" s="7">
        <f>IF(BG$8&lt;=$B$66,BG65*INDEX(Inputs!$W$13:$AF$13,MATCH('Cash Flow - Traditional'!BG10,Inputs!$W$6:$AF$6,0))/12,0)</f>
        <v>0</v>
      </c>
      <c r="BH68" s="7">
        <f>IF(BH$8&lt;=$B$66,BH65*INDEX(Inputs!$W$13:$AF$13,MATCH('Cash Flow - Traditional'!BH10,Inputs!$W$6:$AF$6,0))/12,0)</f>
        <v>0</v>
      </c>
      <c r="BI68" s="7">
        <f>IF(BI$8&lt;=$B$66,BI65*INDEX(Inputs!$W$13:$AF$13,MATCH('Cash Flow - Traditional'!BI10,Inputs!$W$6:$AF$6,0))/12,0)</f>
        <v>0</v>
      </c>
      <c r="BJ68" s="7">
        <f>IF(BJ$8&lt;=$B$66,BJ65*INDEX(Inputs!$W$13:$AF$13,MATCH('Cash Flow - Traditional'!BJ10,Inputs!$W$6:$AF$6,0))/12,0)</f>
        <v>0</v>
      </c>
      <c r="BK68" s="7">
        <f>IF(BK$8&lt;=$B$66,BK65*INDEX(Inputs!$W$13:$AF$13,MATCH('Cash Flow - Traditional'!BK10,Inputs!$W$6:$AF$6,0))/12,0)</f>
        <v>0</v>
      </c>
    </row>
    <row r="69" spans="1:63">
      <c r="A69" s="328" t="s">
        <v>239</v>
      </c>
      <c r="C69" s="7">
        <f>IF(C$8&lt;=$B$66,C65*INDEX(Inputs!$W$18:$AF$18,MATCH('Cash Flow - Traditional'!C10,Inputs!$W$6:$AF$6,0))/12,0)</f>
        <v>0</v>
      </c>
      <c r="D69" s="7">
        <f>IF(D$8&lt;=$B$66,D65*INDEX(Inputs!$W$18:$AF$18,MATCH('Cash Flow - Traditional'!D10,Inputs!$W$6:$AF$6,0))/12,0)</f>
        <v>0</v>
      </c>
      <c r="E69" s="7">
        <f>IF(E$8&lt;=$B$66,E65*INDEX(Inputs!$W$18:$AF$18,MATCH('Cash Flow - Traditional'!E10,Inputs!$W$6:$AF$6,0))/12,0)</f>
        <v>0</v>
      </c>
      <c r="F69" s="7">
        <f>IF(F$8&lt;=$B$66,F65*INDEX(Inputs!$W$18:$AF$18,MATCH('Cash Flow - Traditional'!F10,Inputs!$W$6:$AF$6,0))/12,0)</f>
        <v>0</v>
      </c>
      <c r="G69" s="7">
        <f>IF(G$8&lt;=$B$66,G65*INDEX(Inputs!$W$18:$AF$18,MATCH('Cash Flow - Traditional'!G10,Inputs!$W$6:$AF$6,0))/12,0)</f>
        <v>0</v>
      </c>
      <c r="H69" s="7">
        <f>IF(H$8&lt;=$B$66,H65*INDEX(Inputs!$W$18:$AF$18,MATCH('Cash Flow - Traditional'!H10,Inputs!$W$6:$AF$6,0))/12,0)</f>
        <v>0</v>
      </c>
      <c r="I69" s="7">
        <f>IF(I$8&lt;=$B$66,I65*INDEX(Inputs!$W$18:$AF$18,MATCH('Cash Flow - Traditional'!I10,Inputs!$W$6:$AF$6,0))/12,0)</f>
        <v>0</v>
      </c>
      <c r="J69" s="7">
        <f>IF(J$8&lt;=$B$66,J65*INDEX(Inputs!$W$18:$AF$18,MATCH('Cash Flow - Traditional'!J10,Inputs!$W$6:$AF$6,0))/12,0)</f>
        <v>0</v>
      </c>
      <c r="K69" s="7">
        <f>IF(K$8&lt;=$B$66,K65*INDEX(Inputs!$W$18:$AF$18,MATCH('Cash Flow - Traditional'!K10,Inputs!$W$6:$AF$6,0))/12,0)</f>
        <v>0</v>
      </c>
      <c r="L69" s="7">
        <f>IF(L$8&lt;=$B$66,L65*INDEX(Inputs!$W$18:$AF$18,MATCH('Cash Flow - Traditional'!L10,Inputs!$W$6:$AF$6,0))/12,0)</f>
        <v>0</v>
      </c>
      <c r="M69" s="7">
        <f>IF(M$8&lt;=$B$66,M65*INDEX(Inputs!$W$18:$AF$18,MATCH('Cash Flow - Traditional'!M10,Inputs!$W$6:$AF$6,0))/12,0)</f>
        <v>0</v>
      </c>
      <c r="N69" s="7">
        <f>IF(N$8&lt;=$B$66,N65*INDEX(Inputs!$W$18:$AF$18,MATCH('Cash Flow - Traditional'!N10,Inputs!$W$6:$AF$6,0))/12,0)</f>
        <v>0</v>
      </c>
      <c r="O69" s="7">
        <f>IF(O$8&lt;=$B$66,O65*INDEX(Inputs!$W$18:$AF$18,MATCH('Cash Flow - Traditional'!O10,Inputs!$W$6:$AF$6,0))/12,0)</f>
        <v>0</v>
      </c>
      <c r="P69" s="7">
        <f>IF(P$8&lt;=$B$66,P65*INDEX(Inputs!$W$18:$AF$18,MATCH('Cash Flow - Traditional'!P10,Inputs!$W$6:$AF$6,0))/12,0)</f>
        <v>0</v>
      </c>
      <c r="Q69" s="7">
        <f>IF(Q$8&lt;=$B$66,Q65*INDEX(Inputs!$W$18:$AF$18,MATCH('Cash Flow - Traditional'!Q10,Inputs!$W$6:$AF$6,0))/12,0)</f>
        <v>0</v>
      </c>
      <c r="R69" s="7">
        <f>IF(R$8&lt;=$B$66,R65*INDEX(Inputs!$W$18:$AF$18,MATCH('Cash Flow - Traditional'!R10,Inputs!$W$6:$AF$6,0))/12,0)</f>
        <v>0</v>
      </c>
      <c r="S69" s="7">
        <f>IF(S$8&lt;=$B$66,S65*INDEX(Inputs!$W$18:$AF$18,MATCH('Cash Flow - Traditional'!S10,Inputs!$W$6:$AF$6,0))/12,0)</f>
        <v>0</v>
      </c>
      <c r="T69" s="7">
        <f>IF(T$8&lt;=$B$66,T65*INDEX(Inputs!$W$18:$AF$18,MATCH('Cash Flow - Traditional'!T10,Inputs!$W$6:$AF$6,0))/12,0)</f>
        <v>0</v>
      </c>
      <c r="U69" s="7">
        <f>IF(U$8&lt;=$B$66,U65*INDEX(Inputs!$W$18:$AF$18,MATCH('Cash Flow - Traditional'!U10,Inputs!$W$6:$AF$6,0))/12,0)</f>
        <v>0</v>
      </c>
      <c r="V69" s="7">
        <f>IF(V$8&lt;=$B$66,V65*INDEX(Inputs!$W$18:$AF$18,MATCH('Cash Flow - Traditional'!V10,Inputs!$W$6:$AF$6,0))/12,0)</f>
        <v>0</v>
      </c>
      <c r="W69" s="7">
        <f>IF(W$8&lt;=$B$66,W65*INDEX(Inputs!$W$18:$AF$18,MATCH('Cash Flow - Traditional'!W10,Inputs!$W$6:$AF$6,0))/12,0)</f>
        <v>0</v>
      </c>
      <c r="X69" s="7">
        <f>IF(X$8&lt;=$B$66,X65*INDEX(Inputs!$W$18:$AF$18,MATCH('Cash Flow - Traditional'!X10,Inputs!$W$6:$AF$6,0))/12,0)</f>
        <v>0</v>
      </c>
      <c r="Y69" s="7">
        <f>IF(Y$8&lt;=$B$66,Y65*INDEX(Inputs!$W$18:$AF$18,MATCH('Cash Flow - Traditional'!Y10,Inputs!$W$6:$AF$6,0))/12,0)</f>
        <v>0</v>
      </c>
      <c r="Z69" s="7">
        <f>IF(Z$8&lt;=$B$66,Z65*INDEX(Inputs!$W$18:$AF$18,MATCH('Cash Flow - Traditional'!Z10,Inputs!$W$6:$AF$6,0))/12,0)</f>
        <v>0</v>
      </c>
      <c r="AA69" s="7">
        <f>IF(AA$8&lt;=$B$66,AA65*INDEX(Inputs!$W$18:$AF$18,MATCH('Cash Flow - Traditional'!AA10,Inputs!$W$6:$AF$6,0))/12,0)</f>
        <v>0</v>
      </c>
      <c r="AB69" s="7">
        <f>IF(AB$8&lt;=$B$66,AB65*INDEX(Inputs!$W$18:$AF$18,MATCH('Cash Flow - Traditional'!AB10,Inputs!$W$6:$AF$6,0))/12,0)</f>
        <v>0</v>
      </c>
      <c r="AC69" s="7">
        <f>IF(AC$8&lt;=$B$66,AC65*INDEX(Inputs!$W$18:$AF$18,MATCH('Cash Flow - Traditional'!AC10,Inputs!$W$6:$AF$6,0))/12,0)</f>
        <v>0</v>
      </c>
      <c r="AD69" s="7">
        <f>IF(AD$8&lt;=$B$66,AD65*INDEX(Inputs!$W$18:$AF$18,MATCH('Cash Flow - Traditional'!AD10,Inputs!$W$6:$AF$6,0))/12,0)</f>
        <v>-11349.015869047618</v>
      </c>
      <c r="AE69" s="7">
        <f>IF(AE$8&lt;=$B$66,AE65*INDEX(Inputs!$W$18:$AF$18,MATCH('Cash Flow - Traditional'!AE10,Inputs!$W$6:$AF$6,0))/12,0)</f>
        <v>-22698.031738095237</v>
      </c>
      <c r="AF69" s="7">
        <f>IF(AF$8&lt;=$B$66,AF65*INDEX(Inputs!$W$18:$AF$18,MATCH('Cash Flow - Traditional'!AF10,Inputs!$W$6:$AF$6,0))/12,0)</f>
        <v>-34047.047607142857</v>
      </c>
      <c r="AG69" s="7">
        <f>IF(AG$8&lt;=$B$66,AG65*INDEX(Inputs!$W$18:$AF$18,MATCH('Cash Flow - Traditional'!AG10,Inputs!$W$6:$AF$6,0))/12,0)</f>
        <v>-45396.063476190473</v>
      </c>
      <c r="AH69" s="7">
        <f>IF(AH$8&lt;=$B$66,AH65*INDEX(Inputs!$W$18:$AF$18,MATCH('Cash Flow - Traditional'!AH10,Inputs!$W$6:$AF$6,0))/12,0)</f>
        <v>-56745.079345238082</v>
      </c>
      <c r="AI69" s="7">
        <f>IF(AI$8&lt;=$B$66,AI65*INDEX(Inputs!$W$18:$AF$18,MATCH('Cash Flow - Traditional'!AI10,Inputs!$W$6:$AF$6,0))/12,0)</f>
        <v>-68094.095214285699</v>
      </c>
      <c r="AJ69" s="7">
        <f>IF(AJ$8&lt;=$B$66,AJ65*INDEX(Inputs!$W$18:$AF$18,MATCH('Cash Flow - Traditional'!AJ10,Inputs!$W$6:$AF$6,0))/12,0)</f>
        <v>-79443.111083333322</v>
      </c>
      <c r="AK69" s="7">
        <f>IF(AK$8&lt;=$B$66,AK65*INDEX(Inputs!$W$18:$AF$18,MATCH('Cash Flow - Traditional'!AK10,Inputs!$W$6:$AF$6,0))/12,0)</f>
        <v>-90792.126952380946</v>
      </c>
      <c r="AL69" s="7">
        <f>IF(AL$8&lt;=$B$66,AL65*INDEX(Inputs!$W$18:$AF$18,MATCH('Cash Flow - Traditional'!AL10,Inputs!$W$6:$AF$6,0))/12,0)</f>
        <v>-102141.14282142856</v>
      </c>
      <c r="AM69" s="7">
        <f>IF(AM$8&lt;=$B$66,AM65*INDEX(Inputs!$W$18:$AF$18,MATCH('Cash Flow - Traditional'!AM10,Inputs!$W$6:$AF$6,0))/12,0)</f>
        <v>-113490.15869047619</v>
      </c>
      <c r="AN69" s="7">
        <f>IF(AN$8&lt;=$B$66,AN65*INDEX(Inputs!$W$18:$AF$18,MATCH('Cash Flow - Traditional'!AN10,Inputs!$W$6:$AF$6,0))/12,0)</f>
        <v>-127365.04285279762</v>
      </c>
      <c r="AO69" s="7">
        <f>IF(AO$8&lt;=$B$66,AO65*INDEX(Inputs!$W$18:$AF$18,MATCH('Cash Flow - Traditional'!AO10,Inputs!$W$6:$AF$6,0))/12,0)</f>
        <v>-138943.68311214287</v>
      </c>
      <c r="AP69" s="7">
        <f>IF(AP$8&lt;=$B$66,AP65*INDEX(Inputs!$W$18:$AF$18,MATCH('Cash Flow - Traditional'!AP10,Inputs!$W$6:$AF$6,0))/12,0)</f>
        <v>0</v>
      </c>
      <c r="AQ69" s="7">
        <f>IF(AQ$8&lt;=$B$66,AQ65*INDEX(Inputs!$W$18:$AF$18,MATCH('Cash Flow - Traditional'!AQ10,Inputs!$W$6:$AF$6,0))/12,0)</f>
        <v>0</v>
      </c>
      <c r="AR69" s="7">
        <f>IF(AR$8&lt;=$B$66,AR65*INDEX(Inputs!$W$18:$AF$18,MATCH('Cash Flow - Traditional'!AR10,Inputs!$W$6:$AF$6,0))/12,0)</f>
        <v>0</v>
      </c>
      <c r="AS69" s="7">
        <f>IF(AS$8&lt;=$B$66,AS65*INDEX(Inputs!$W$18:$AF$18,MATCH('Cash Flow - Traditional'!AS10,Inputs!$W$6:$AF$6,0))/12,0)</f>
        <v>0</v>
      </c>
      <c r="AT69" s="7">
        <f>IF(AT$8&lt;=$B$66,AT65*INDEX(Inputs!$W$18:$AF$18,MATCH('Cash Flow - Traditional'!AT10,Inputs!$W$6:$AF$6,0))/12,0)</f>
        <v>0</v>
      </c>
      <c r="AU69" s="7">
        <f>IF(AU$8&lt;=$B$66,AU65*INDEX(Inputs!$W$18:$AF$18,MATCH('Cash Flow - Traditional'!AU10,Inputs!$W$6:$AF$6,0))/12,0)</f>
        <v>0</v>
      </c>
      <c r="AV69" s="7">
        <f>IF(AV$8&lt;=$B$66,AV65*INDEX(Inputs!$W$18:$AF$18,MATCH('Cash Flow - Traditional'!AV10,Inputs!$W$6:$AF$6,0))/12,0)</f>
        <v>0</v>
      </c>
      <c r="AW69" s="7">
        <f>IF(AW$8&lt;=$B$66,AW65*INDEX(Inputs!$W$18:$AF$18,MATCH('Cash Flow - Traditional'!AW10,Inputs!$W$6:$AF$6,0))/12,0)</f>
        <v>0</v>
      </c>
      <c r="AX69" s="7">
        <f>IF(AX$8&lt;=$B$66,AX65*INDEX(Inputs!$W$18:$AF$18,MATCH('Cash Flow - Traditional'!AX10,Inputs!$W$6:$AF$6,0))/12,0)</f>
        <v>0</v>
      </c>
      <c r="AY69" s="7">
        <f>IF(AY$8&lt;=$B$66,AY65*INDEX(Inputs!$W$18:$AF$18,MATCH('Cash Flow - Traditional'!AY10,Inputs!$W$6:$AF$6,0))/12,0)</f>
        <v>0</v>
      </c>
      <c r="AZ69" s="7">
        <f>IF(AZ$8&lt;=$B$66,AZ65*INDEX(Inputs!$W$18:$AF$18,MATCH('Cash Flow - Traditional'!AZ10,Inputs!$W$6:$AF$6,0))/12,0)</f>
        <v>0</v>
      </c>
      <c r="BA69" s="7">
        <f>IF(BA$8&lt;=$B$66,BA65*INDEX(Inputs!$W$18:$AF$18,MATCH('Cash Flow - Traditional'!BA10,Inputs!$W$6:$AF$6,0))/12,0)</f>
        <v>0</v>
      </c>
      <c r="BB69" s="7">
        <f>IF(BB$8&lt;=$B$66,BB65*INDEX(Inputs!$W$18:$AF$18,MATCH('Cash Flow - Traditional'!BB10,Inputs!$W$6:$AF$6,0))/12,0)</f>
        <v>0</v>
      </c>
      <c r="BC69" s="7">
        <f>IF(BC$8&lt;=$B$66,BC65*INDEX(Inputs!$W$18:$AF$18,MATCH('Cash Flow - Traditional'!BC10,Inputs!$W$6:$AF$6,0))/12,0)</f>
        <v>0</v>
      </c>
      <c r="BD69" s="7">
        <f>IF(BD$8&lt;=$B$66,BD65*INDEX(Inputs!$W$18:$AF$18,MATCH('Cash Flow - Traditional'!BD10,Inputs!$W$6:$AF$6,0))/12,0)</f>
        <v>0</v>
      </c>
      <c r="BE69" s="7">
        <f>IF(BE$8&lt;=$B$66,BE65*INDEX(Inputs!$W$18:$AF$18,MATCH('Cash Flow - Traditional'!BE10,Inputs!$W$6:$AF$6,0))/12,0)</f>
        <v>0</v>
      </c>
      <c r="BF69" s="7">
        <f>IF(BF$8&lt;=$B$66,BF65*INDEX(Inputs!$W$18:$AF$18,MATCH('Cash Flow - Traditional'!BF10,Inputs!$W$6:$AF$6,0))/12,0)</f>
        <v>0</v>
      </c>
      <c r="BG69" s="7">
        <f>IF(BG$8&lt;=$B$66,BG65*INDEX(Inputs!$W$18:$AF$18,MATCH('Cash Flow - Traditional'!BG10,Inputs!$W$6:$AF$6,0))/12,0)</f>
        <v>0</v>
      </c>
      <c r="BH69" s="7">
        <f>IF(BH$8&lt;=$B$66,BH65*INDEX(Inputs!$W$18:$AF$18,MATCH('Cash Flow - Traditional'!BH10,Inputs!$W$6:$AF$6,0))/12,0)</f>
        <v>0</v>
      </c>
      <c r="BI69" s="7">
        <f>IF(BI$8&lt;=$B$66,BI65*INDEX(Inputs!$W$18:$AF$18,MATCH('Cash Flow - Traditional'!BI10,Inputs!$W$6:$AF$6,0))/12,0)</f>
        <v>0</v>
      </c>
      <c r="BJ69" s="7">
        <f>IF(BJ$8&lt;=$B$66,BJ65*INDEX(Inputs!$W$18:$AF$18,MATCH('Cash Flow - Traditional'!BJ10,Inputs!$W$6:$AF$6,0))/12,0)</f>
        <v>0</v>
      </c>
      <c r="BK69" s="7">
        <f>IF(BK$8&lt;=$B$66,BK65*INDEX(Inputs!$W$18:$AF$18,MATCH('Cash Flow - Traditional'!BK10,Inputs!$W$6:$AF$6,0))/12,0)</f>
        <v>0</v>
      </c>
    </row>
    <row r="70" spans="1:63">
      <c r="A70" s="11"/>
      <c r="B70" s="31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</row>
    <row r="71" spans="1:63" ht="16" thickBot="1">
      <c r="A71" s="32" t="s">
        <v>234</v>
      </c>
      <c r="B71" s="33"/>
      <c r="C71" s="34">
        <f>SUM(C68:C69)</f>
        <v>0</v>
      </c>
      <c r="D71" s="34">
        <f t="shared" ref="D71:BK71" si="106">SUM(D68:D69)</f>
        <v>0</v>
      </c>
      <c r="E71" s="34">
        <f t="shared" si="106"/>
        <v>0</v>
      </c>
      <c r="F71" s="34">
        <f t="shared" si="106"/>
        <v>0</v>
      </c>
      <c r="G71" s="34">
        <f t="shared" si="106"/>
        <v>0</v>
      </c>
      <c r="H71" s="34">
        <f t="shared" si="106"/>
        <v>0</v>
      </c>
      <c r="I71" s="34">
        <f t="shared" si="106"/>
        <v>0</v>
      </c>
      <c r="J71" s="34">
        <f t="shared" si="106"/>
        <v>0</v>
      </c>
      <c r="K71" s="34">
        <f t="shared" si="106"/>
        <v>0</v>
      </c>
      <c r="L71" s="34">
        <f t="shared" si="106"/>
        <v>0</v>
      </c>
      <c r="M71" s="34">
        <f t="shared" si="106"/>
        <v>0</v>
      </c>
      <c r="N71" s="34">
        <f t="shared" si="106"/>
        <v>0</v>
      </c>
      <c r="O71" s="34">
        <f t="shared" si="106"/>
        <v>0</v>
      </c>
      <c r="P71" s="34">
        <f t="shared" si="106"/>
        <v>0</v>
      </c>
      <c r="Q71" s="34">
        <f t="shared" si="106"/>
        <v>0</v>
      </c>
      <c r="R71" s="34">
        <f t="shared" si="106"/>
        <v>0</v>
      </c>
      <c r="S71" s="34">
        <f t="shared" si="106"/>
        <v>0</v>
      </c>
      <c r="T71" s="34">
        <f t="shared" si="106"/>
        <v>0</v>
      </c>
      <c r="U71" s="34">
        <f t="shared" si="106"/>
        <v>0</v>
      </c>
      <c r="V71" s="34">
        <f t="shared" si="106"/>
        <v>0</v>
      </c>
      <c r="W71" s="34">
        <f t="shared" si="106"/>
        <v>0</v>
      </c>
      <c r="X71" s="34">
        <f t="shared" si="106"/>
        <v>0</v>
      </c>
      <c r="Y71" s="34">
        <f t="shared" si="106"/>
        <v>0</v>
      </c>
      <c r="Z71" s="34">
        <f t="shared" si="106"/>
        <v>0</v>
      </c>
      <c r="AA71" s="34">
        <f t="shared" si="106"/>
        <v>0</v>
      </c>
      <c r="AB71" s="34">
        <f t="shared" si="106"/>
        <v>0</v>
      </c>
      <c r="AC71" s="34">
        <f t="shared" si="106"/>
        <v>0</v>
      </c>
      <c r="AD71" s="34">
        <f t="shared" si="106"/>
        <v>18328.513297619043</v>
      </c>
      <c r="AE71" s="34">
        <f t="shared" si="106"/>
        <v>36657.026595238087</v>
      </c>
      <c r="AF71" s="34">
        <f t="shared" si="106"/>
        <v>54985.539892857123</v>
      </c>
      <c r="AG71" s="34">
        <f t="shared" si="106"/>
        <v>73314.053190476174</v>
      </c>
      <c r="AH71" s="34">
        <f t="shared" si="106"/>
        <v>91642.56648809521</v>
      </c>
      <c r="AI71" s="34">
        <f t="shared" si="106"/>
        <v>109971.07978571423</v>
      </c>
      <c r="AJ71" s="34">
        <f t="shared" si="106"/>
        <v>128299.59308333328</v>
      </c>
      <c r="AK71" s="34">
        <f t="shared" si="106"/>
        <v>146628.10638095235</v>
      </c>
      <c r="AL71" s="34">
        <f t="shared" si="106"/>
        <v>164956.61967857141</v>
      </c>
      <c r="AM71" s="34">
        <f t="shared" si="106"/>
        <v>183285.13297619042</v>
      </c>
      <c r="AN71" s="34">
        <f t="shared" si="106"/>
        <v>207071.07450136897</v>
      </c>
      <c r="AO71" s="34">
        <f t="shared" si="106"/>
        <v>225895.71763785699</v>
      </c>
      <c r="AP71" s="34">
        <f t="shared" si="106"/>
        <v>0</v>
      </c>
      <c r="AQ71" s="34">
        <f t="shared" si="106"/>
        <v>0</v>
      </c>
      <c r="AR71" s="34">
        <f t="shared" si="106"/>
        <v>0</v>
      </c>
      <c r="AS71" s="34">
        <f t="shared" si="106"/>
        <v>0</v>
      </c>
      <c r="AT71" s="34">
        <f t="shared" si="106"/>
        <v>0</v>
      </c>
      <c r="AU71" s="34">
        <f t="shared" si="106"/>
        <v>0</v>
      </c>
      <c r="AV71" s="34">
        <f t="shared" si="106"/>
        <v>0</v>
      </c>
      <c r="AW71" s="34">
        <f t="shared" si="106"/>
        <v>0</v>
      </c>
      <c r="AX71" s="34">
        <f t="shared" si="106"/>
        <v>0</v>
      </c>
      <c r="AY71" s="34">
        <f t="shared" si="106"/>
        <v>0</v>
      </c>
      <c r="AZ71" s="34">
        <f t="shared" si="106"/>
        <v>0</v>
      </c>
      <c r="BA71" s="34">
        <f t="shared" si="106"/>
        <v>0</v>
      </c>
      <c r="BB71" s="34">
        <f t="shared" si="106"/>
        <v>0</v>
      </c>
      <c r="BC71" s="34">
        <f t="shared" si="106"/>
        <v>0</v>
      </c>
      <c r="BD71" s="34">
        <f t="shared" si="106"/>
        <v>0</v>
      </c>
      <c r="BE71" s="34">
        <f t="shared" si="106"/>
        <v>0</v>
      </c>
      <c r="BF71" s="34">
        <f t="shared" si="106"/>
        <v>0</v>
      </c>
      <c r="BG71" s="34">
        <f t="shared" si="106"/>
        <v>0</v>
      </c>
      <c r="BH71" s="34">
        <f t="shared" si="106"/>
        <v>0</v>
      </c>
      <c r="BI71" s="34">
        <f t="shared" si="106"/>
        <v>0</v>
      </c>
      <c r="BJ71" s="34">
        <f t="shared" si="106"/>
        <v>0</v>
      </c>
      <c r="BK71" s="34">
        <f t="shared" si="106"/>
        <v>0</v>
      </c>
    </row>
    <row r="72" spans="1:63">
      <c r="A72" t="s">
        <v>240</v>
      </c>
      <c r="B72" s="35"/>
      <c r="C72" s="21">
        <f t="shared" ref="C72:BK72" si="107">IF(C65&gt;0,C71+C49,0)</f>
        <v>0</v>
      </c>
      <c r="D72" s="21">
        <f t="shared" si="107"/>
        <v>0</v>
      </c>
      <c r="E72" s="21">
        <f t="shared" si="107"/>
        <v>0</v>
      </c>
      <c r="F72" s="21">
        <f t="shared" si="107"/>
        <v>0</v>
      </c>
      <c r="G72" s="21">
        <f t="shared" si="107"/>
        <v>0</v>
      </c>
      <c r="H72" s="21">
        <f t="shared" si="107"/>
        <v>0</v>
      </c>
      <c r="I72" s="21">
        <f t="shared" si="107"/>
        <v>0</v>
      </c>
      <c r="J72" s="21">
        <f t="shared" si="107"/>
        <v>0</v>
      </c>
      <c r="K72" s="21">
        <f t="shared" si="107"/>
        <v>0</v>
      </c>
      <c r="L72" s="21">
        <f t="shared" si="107"/>
        <v>0</v>
      </c>
      <c r="M72" s="21">
        <f t="shared" si="107"/>
        <v>0</v>
      </c>
      <c r="N72" s="21">
        <f t="shared" si="107"/>
        <v>0</v>
      </c>
      <c r="O72" s="21">
        <f t="shared" si="107"/>
        <v>0</v>
      </c>
      <c r="P72" s="21">
        <f t="shared" si="107"/>
        <v>0</v>
      </c>
      <c r="Q72" s="21">
        <f t="shared" si="107"/>
        <v>0</v>
      </c>
      <c r="R72" s="21">
        <f t="shared" si="107"/>
        <v>0</v>
      </c>
      <c r="S72" s="21">
        <f t="shared" si="107"/>
        <v>0</v>
      </c>
      <c r="T72" s="21">
        <f t="shared" si="107"/>
        <v>0</v>
      </c>
      <c r="U72" s="21">
        <f t="shared" si="107"/>
        <v>0</v>
      </c>
      <c r="V72" s="21">
        <f t="shared" si="107"/>
        <v>0</v>
      </c>
      <c r="W72" s="21">
        <f t="shared" si="107"/>
        <v>0</v>
      </c>
      <c r="X72" s="21">
        <f t="shared" si="107"/>
        <v>0</v>
      </c>
      <c r="Y72" s="21">
        <f t="shared" si="107"/>
        <v>0</v>
      </c>
      <c r="Z72" s="21">
        <f t="shared" si="107"/>
        <v>0</v>
      </c>
      <c r="AA72" s="21">
        <f t="shared" si="107"/>
        <v>0</v>
      </c>
      <c r="AB72" s="21">
        <f t="shared" si="107"/>
        <v>0</v>
      </c>
      <c r="AC72" s="21">
        <f t="shared" si="107"/>
        <v>0</v>
      </c>
      <c r="AD72" s="21">
        <f t="shared" ca="1" si="107"/>
        <v>-166942.26231497285</v>
      </c>
      <c r="AE72" s="21">
        <f t="shared" ca="1" si="107"/>
        <v>-149611.1556907146</v>
      </c>
      <c r="AF72" s="21">
        <f t="shared" ca="1" si="107"/>
        <v>-132163.7329606752</v>
      </c>
      <c r="AG72" s="21">
        <f t="shared" ca="1" si="107"/>
        <v>-114599.21347903338</v>
      </c>
      <c r="AH72" s="21">
        <f t="shared" ca="1" si="107"/>
        <v>-96916.81136074118</v>
      </c>
      <c r="AI72" s="21">
        <f t="shared" ca="1" si="107"/>
        <v>-79115.735446361374</v>
      </c>
      <c r="AJ72" s="21">
        <f t="shared" ca="1" si="107"/>
        <v>-61195.189266668429</v>
      </c>
      <c r="AK72" s="21">
        <f t="shared" ca="1" si="107"/>
        <v>-43154.37100701296</v>
      </c>
      <c r="AL72" s="21">
        <f t="shared" ca="1" si="107"/>
        <v>-24992.473471445875</v>
      </c>
      <c r="AM72" s="21">
        <f t="shared" ca="1" si="107"/>
        <v>-6708.684046602546</v>
      </c>
      <c r="AN72" s="21">
        <f t="shared" ca="1" si="107"/>
        <v>17077.257478576008</v>
      </c>
      <c r="AO72" s="21">
        <f t="shared" si="107"/>
        <v>225895.71763785699</v>
      </c>
      <c r="AP72" s="21">
        <f t="shared" si="107"/>
        <v>0</v>
      </c>
      <c r="AQ72" s="21">
        <f t="shared" si="107"/>
        <v>0</v>
      </c>
      <c r="AR72" s="21">
        <f t="shared" si="107"/>
        <v>0</v>
      </c>
      <c r="AS72" s="21">
        <f t="shared" si="107"/>
        <v>0</v>
      </c>
      <c r="AT72" s="21">
        <f t="shared" si="107"/>
        <v>0</v>
      </c>
      <c r="AU72" s="21">
        <f t="shared" si="107"/>
        <v>0</v>
      </c>
      <c r="AV72" s="21">
        <f t="shared" si="107"/>
        <v>0</v>
      </c>
      <c r="AW72" s="21">
        <f t="shared" si="107"/>
        <v>0</v>
      </c>
      <c r="AX72" s="21">
        <f t="shared" si="107"/>
        <v>0</v>
      </c>
      <c r="AY72" s="21">
        <f t="shared" si="107"/>
        <v>0</v>
      </c>
      <c r="AZ72" s="21">
        <f t="shared" si="107"/>
        <v>0</v>
      </c>
      <c r="BA72" s="21">
        <f t="shared" si="107"/>
        <v>0</v>
      </c>
      <c r="BB72" s="21">
        <f t="shared" si="107"/>
        <v>0</v>
      </c>
      <c r="BC72" s="21">
        <f t="shared" si="107"/>
        <v>0</v>
      </c>
      <c r="BD72" s="21">
        <f t="shared" si="107"/>
        <v>0</v>
      </c>
      <c r="BE72" s="21">
        <f t="shared" si="107"/>
        <v>0</v>
      </c>
      <c r="BF72" s="21">
        <f t="shared" si="107"/>
        <v>0</v>
      </c>
      <c r="BG72" s="21">
        <f t="shared" si="107"/>
        <v>0</v>
      </c>
      <c r="BH72" s="21">
        <f t="shared" si="107"/>
        <v>0</v>
      </c>
      <c r="BI72" s="21">
        <f t="shared" si="107"/>
        <v>0</v>
      </c>
      <c r="BJ72" s="21">
        <f t="shared" si="107"/>
        <v>0</v>
      </c>
      <c r="BK72" s="21">
        <f t="shared" si="107"/>
        <v>0</v>
      </c>
    </row>
    <row r="73" spans="1:63"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</row>
    <row r="74" spans="1:63">
      <c r="A74" s="329" t="s">
        <v>192</v>
      </c>
      <c r="B74" s="329"/>
      <c r="C74" s="329"/>
      <c r="D74" s="329"/>
      <c r="E74" s="329"/>
      <c r="F74" s="329"/>
      <c r="G74" s="329"/>
      <c r="H74" s="329"/>
      <c r="I74" s="329"/>
      <c r="J74" s="329"/>
      <c r="K74" s="329"/>
      <c r="L74" s="329"/>
      <c r="M74" s="329"/>
      <c r="N74" s="329"/>
      <c r="O74" s="329"/>
      <c r="P74" s="329"/>
      <c r="Q74" s="329"/>
      <c r="R74" s="329"/>
      <c r="S74" s="329"/>
      <c r="T74" s="329"/>
      <c r="U74" s="329"/>
      <c r="V74" s="329"/>
      <c r="W74" s="329"/>
      <c r="X74" s="329"/>
      <c r="Y74" s="329"/>
      <c r="Z74" s="329"/>
      <c r="AA74" s="329"/>
      <c r="AB74" s="329"/>
      <c r="AC74" s="329"/>
      <c r="AD74" s="329"/>
      <c r="AE74" s="329"/>
      <c r="AF74" s="329"/>
      <c r="AG74" s="329"/>
      <c r="AH74" s="329"/>
      <c r="AI74" s="329"/>
      <c r="AJ74" s="329"/>
      <c r="AK74" s="329"/>
      <c r="AL74" s="329"/>
      <c r="AM74" s="329"/>
      <c r="AN74" s="329"/>
      <c r="AO74" s="329"/>
      <c r="AP74" s="329"/>
      <c r="AQ74" s="329"/>
      <c r="AR74" s="329"/>
      <c r="AS74" s="329"/>
      <c r="AT74" s="329"/>
      <c r="AU74" s="329"/>
      <c r="AV74" s="329"/>
      <c r="AW74" s="329"/>
      <c r="AX74" s="329"/>
      <c r="AY74" s="329"/>
      <c r="AZ74" s="329"/>
      <c r="BA74" s="329"/>
      <c r="BB74" s="329"/>
      <c r="BC74" s="329"/>
      <c r="BD74" s="329"/>
      <c r="BE74" s="329"/>
      <c r="BF74" s="329"/>
      <c r="BG74" s="329"/>
      <c r="BH74" s="329"/>
      <c r="BI74" s="329"/>
      <c r="BJ74" s="329"/>
      <c r="BK74" s="329"/>
    </row>
    <row r="75" spans="1:63">
      <c r="A75" t="s">
        <v>224</v>
      </c>
      <c r="B75" s="16">
        <f>Inputs!S96</f>
        <v>38</v>
      </c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</row>
    <row r="76" spans="1:63">
      <c r="A76" t="s">
        <v>241</v>
      </c>
      <c r="B76" s="36">
        <f>Inputs!F16</f>
        <v>0.05</v>
      </c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</row>
    <row r="77" spans="1:63">
      <c r="A77" t="s">
        <v>242</v>
      </c>
      <c r="B77" s="16">
        <f>INDEX(Inputs!W20:AF20,MATCH((INDEX(C10:BK10,MATCH(B75,C8:BK8))+1),Inputs!W6:AF6,0))</f>
        <v>2784086.5768498704</v>
      </c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</row>
    <row r="78" spans="1:63">
      <c r="A78" t="s">
        <v>243</v>
      </c>
      <c r="B78" s="16">
        <f>B77/B76</f>
        <v>55681731.536997408</v>
      </c>
      <c r="C78" s="17">
        <f t="shared" ref="C78:BK78" si="108">IF(C8=$B$75,$B$78,0)</f>
        <v>0</v>
      </c>
      <c r="D78" s="17">
        <f t="shared" si="108"/>
        <v>0</v>
      </c>
      <c r="E78" s="17">
        <f t="shared" si="108"/>
        <v>0</v>
      </c>
      <c r="F78" s="17">
        <f t="shared" si="108"/>
        <v>0</v>
      </c>
      <c r="G78" s="17">
        <f t="shared" si="108"/>
        <v>0</v>
      </c>
      <c r="H78" s="17">
        <f t="shared" si="108"/>
        <v>0</v>
      </c>
      <c r="I78" s="17">
        <f t="shared" si="108"/>
        <v>0</v>
      </c>
      <c r="J78" s="17">
        <f t="shared" si="108"/>
        <v>0</v>
      </c>
      <c r="K78" s="17">
        <f t="shared" si="108"/>
        <v>0</v>
      </c>
      <c r="L78" s="17">
        <f t="shared" si="108"/>
        <v>0</v>
      </c>
      <c r="M78" s="17">
        <f t="shared" si="108"/>
        <v>0</v>
      </c>
      <c r="N78" s="17">
        <f t="shared" si="108"/>
        <v>0</v>
      </c>
      <c r="O78" s="17">
        <f t="shared" si="108"/>
        <v>0</v>
      </c>
      <c r="P78" s="17">
        <f t="shared" si="108"/>
        <v>0</v>
      </c>
      <c r="Q78" s="17">
        <f t="shared" si="108"/>
        <v>0</v>
      </c>
      <c r="R78" s="17">
        <f t="shared" si="108"/>
        <v>0</v>
      </c>
      <c r="S78" s="17">
        <f t="shared" si="108"/>
        <v>0</v>
      </c>
      <c r="T78" s="17">
        <f t="shared" si="108"/>
        <v>0</v>
      </c>
      <c r="U78" s="17">
        <f t="shared" si="108"/>
        <v>0</v>
      </c>
      <c r="V78" s="17">
        <f t="shared" si="108"/>
        <v>0</v>
      </c>
      <c r="W78" s="17">
        <f t="shared" si="108"/>
        <v>0</v>
      </c>
      <c r="X78" s="17">
        <f t="shared" si="108"/>
        <v>0</v>
      </c>
      <c r="Y78" s="17">
        <f t="shared" si="108"/>
        <v>0</v>
      </c>
      <c r="Z78" s="17">
        <f t="shared" si="108"/>
        <v>0</v>
      </c>
      <c r="AA78" s="17">
        <f t="shared" si="108"/>
        <v>0</v>
      </c>
      <c r="AB78" s="17">
        <f t="shared" si="108"/>
        <v>0</v>
      </c>
      <c r="AC78" s="17">
        <f t="shared" si="108"/>
        <v>0</v>
      </c>
      <c r="AD78" s="17">
        <f t="shared" si="108"/>
        <v>0</v>
      </c>
      <c r="AE78" s="17">
        <f t="shared" si="108"/>
        <v>0</v>
      </c>
      <c r="AF78" s="17">
        <f t="shared" si="108"/>
        <v>0</v>
      </c>
      <c r="AG78" s="17">
        <f t="shared" si="108"/>
        <v>0</v>
      </c>
      <c r="AH78" s="17">
        <f t="shared" si="108"/>
        <v>0</v>
      </c>
      <c r="AI78" s="17">
        <f t="shared" si="108"/>
        <v>0</v>
      </c>
      <c r="AJ78" s="17">
        <f t="shared" si="108"/>
        <v>0</v>
      </c>
      <c r="AK78" s="17">
        <f t="shared" si="108"/>
        <v>0</v>
      </c>
      <c r="AL78" s="17">
        <f t="shared" si="108"/>
        <v>0</v>
      </c>
      <c r="AM78" s="17">
        <f t="shared" si="108"/>
        <v>0</v>
      </c>
      <c r="AN78" s="17">
        <f t="shared" si="108"/>
        <v>0</v>
      </c>
      <c r="AO78" s="17">
        <f t="shared" si="108"/>
        <v>55681731.536997408</v>
      </c>
      <c r="AP78" s="17">
        <f t="shared" si="108"/>
        <v>0</v>
      </c>
      <c r="AQ78" s="17">
        <f t="shared" si="108"/>
        <v>0</v>
      </c>
      <c r="AR78" s="17">
        <f t="shared" si="108"/>
        <v>0</v>
      </c>
      <c r="AS78" s="17">
        <f t="shared" si="108"/>
        <v>0</v>
      </c>
      <c r="AT78" s="17">
        <f t="shared" si="108"/>
        <v>0</v>
      </c>
      <c r="AU78" s="17">
        <f t="shared" si="108"/>
        <v>0</v>
      </c>
      <c r="AV78" s="17">
        <f t="shared" si="108"/>
        <v>0</v>
      </c>
      <c r="AW78" s="17">
        <f t="shared" si="108"/>
        <v>0</v>
      </c>
      <c r="AX78" s="17">
        <f t="shared" si="108"/>
        <v>0</v>
      </c>
      <c r="AY78" s="17">
        <f t="shared" si="108"/>
        <v>0</v>
      </c>
      <c r="AZ78" s="17">
        <f t="shared" si="108"/>
        <v>0</v>
      </c>
      <c r="BA78" s="17">
        <f t="shared" si="108"/>
        <v>0</v>
      </c>
      <c r="BB78" s="17">
        <f t="shared" si="108"/>
        <v>0</v>
      </c>
      <c r="BC78" s="17">
        <f t="shared" si="108"/>
        <v>0</v>
      </c>
      <c r="BD78" s="17">
        <f t="shared" si="108"/>
        <v>0</v>
      </c>
      <c r="BE78" s="17">
        <f t="shared" si="108"/>
        <v>0</v>
      </c>
      <c r="BF78" s="17">
        <f t="shared" si="108"/>
        <v>0</v>
      </c>
      <c r="BG78" s="17">
        <f t="shared" si="108"/>
        <v>0</v>
      </c>
      <c r="BH78" s="17">
        <f t="shared" si="108"/>
        <v>0</v>
      </c>
      <c r="BI78" s="17">
        <f t="shared" si="108"/>
        <v>0</v>
      </c>
      <c r="BJ78" s="17">
        <f t="shared" si="108"/>
        <v>0</v>
      </c>
      <c r="BK78" s="17">
        <f t="shared" si="108"/>
        <v>0</v>
      </c>
    </row>
    <row r="79" spans="1:63">
      <c r="A79" t="s">
        <v>244</v>
      </c>
      <c r="B79" s="20">
        <f>Inputs!F17</f>
        <v>0.03</v>
      </c>
      <c r="C79" s="17">
        <f>-$B$79*C78</f>
        <v>0</v>
      </c>
      <c r="D79" s="17">
        <f t="shared" ref="D79:BK79" si="109">-$B$79*D78</f>
        <v>0</v>
      </c>
      <c r="E79" s="17">
        <f t="shared" si="109"/>
        <v>0</v>
      </c>
      <c r="F79" s="17">
        <f t="shared" si="109"/>
        <v>0</v>
      </c>
      <c r="G79" s="17">
        <f t="shared" si="109"/>
        <v>0</v>
      </c>
      <c r="H79" s="17">
        <f t="shared" si="109"/>
        <v>0</v>
      </c>
      <c r="I79" s="17">
        <f t="shared" si="109"/>
        <v>0</v>
      </c>
      <c r="J79" s="17">
        <f t="shared" si="109"/>
        <v>0</v>
      </c>
      <c r="K79" s="17">
        <f t="shared" si="109"/>
        <v>0</v>
      </c>
      <c r="L79" s="17">
        <f t="shared" si="109"/>
        <v>0</v>
      </c>
      <c r="M79" s="17">
        <f t="shared" si="109"/>
        <v>0</v>
      </c>
      <c r="N79" s="17">
        <f t="shared" si="109"/>
        <v>0</v>
      </c>
      <c r="O79" s="17">
        <f t="shared" si="109"/>
        <v>0</v>
      </c>
      <c r="P79" s="17">
        <f t="shared" si="109"/>
        <v>0</v>
      </c>
      <c r="Q79" s="17">
        <f t="shared" si="109"/>
        <v>0</v>
      </c>
      <c r="R79" s="17">
        <f t="shared" si="109"/>
        <v>0</v>
      </c>
      <c r="S79" s="17">
        <f t="shared" si="109"/>
        <v>0</v>
      </c>
      <c r="T79" s="17">
        <f t="shared" si="109"/>
        <v>0</v>
      </c>
      <c r="U79" s="17">
        <f t="shared" si="109"/>
        <v>0</v>
      </c>
      <c r="V79" s="17">
        <f t="shared" si="109"/>
        <v>0</v>
      </c>
      <c r="W79" s="17">
        <f t="shared" si="109"/>
        <v>0</v>
      </c>
      <c r="X79" s="17">
        <f t="shared" si="109"/>
        <v>0</v>
      </c>
      <c r="Y79" s="17">
        <f t="shared" si="109"/>
        <v>0</v>
      </c>
      <c r="Z79" s="17">
        <f t="shared" si="109"/>
        <v>0</v>
      </c>
      <c r="AA79" s="17">
        <f t="shared" si="109"/>
        <v>0</v>
      </c>
      <c r="AB79" s="17">
        <f t="shared" si="109"/>
        <v>0</v>
      </c>
      <c r="AC79" s="17">
        <f t="shared" si="109"/>
        <v>0</v>
      </c>
      <c r="AD79" s="17">
        <f t="shared" si="109"/>
        <v>0</v>
      </c>
      <c r="AE79" s="17">
        <f t="shared" si="109"/>
        <v>0</v>
      </c>
      <c r="AF79" s="17">
        <f t="shared" si="109"/>
        <v>0</v>
      </c>
      <c r="AG79" s="17">
        <f t="shared" si="109"/>
        <v>0</v>
      </c>
      <c r="AH79" s="17">
        <f t="shared" si="109"/>
        <v>0</v>
      </c>
      <c r="AI79" s="17">
        <f t="shared" si="109"/>
        <v>0</v>
      </c>
      <c r="AJ79" s="17">
        <f t="shared" si="109"/>
        <v>0</v>
      </c>
      <c r="AK79" s="17">
        <f t="shared" si="109"/>
        <v>0</v>
      </c>
      <c r="AL79" s="17">
        <f t="shared" si="109"/>
        <v>0</v>
      </c>
      <c r="AM79" s="17">
        <f t="shared" si="109"/>
        <v>0</v>
      </c>
      <c r="AN79" s="17">
        <f t="shared" si="109"/>
        <v>0</v>
      </c>
      <c r="AO79" s="17">
        <f t="shared" si="109"/>
        <v>-1670451.9461099221</v>
      </c>
      <c r="AP79" s="17">
        <f t="shared" si="109"/>
        <v>0</v>
      </c>
      <c r="AQ79" s="17">
        <f t="shared" si="109"/>
        <v>0</v>
      </c>
      <c r="AR79" s="17">
        <f t="shared" si="109"/>
        <v>0</v>
      </c>
      <c r="AS79" s="17">
        <f t="shared" si="109"/>
        <v>0</v>
      </c>
      <c r="AT79" s="17">
        <f t="shared" si="109"/>
        <v>0</v>
      </c>
      <c r="AU79" s="17">
        <f t="shared" si="109"/>
        <v>0</v>
      </c>
      <c r="AV79" s="17">
        <f t="shared" si="109"/>
        <v>0</v>
      </c>
      <c r="AW79" s="17">
        <f t="shared" si="109"/>
        <v>0</v>
      </c>
      <c r="AX79" s="17">
        <f t="shared" si="109"/>
        <v>0</v>
      </c>
      <c r="AY79" s="17">
        <f t="shared" si="109"/>
        <v>0</v>
      </c>
      <c r="AZ79" s="17">
        <f t="shared" si="109"/>
        <v>0</v>
      </c>
      <c r="BA79" s="17">
        <f t="shared" si="109"/>
        <v>0</v>
      </c>
      <c r="BB79" s="17">
        <f t="shared" si="109"/>
        <v>0</v>
      </c>
      <c r="BC79" s="17">
        <f t="shared" si="109"/>
        <v>0</v>
      </c>
      <c r="BD79" s="17">
        <f t="shared" si="109"/>
        <v>0</v>
      </c>
      <c r="BE79" s="17">
        <f t="shared" si="109"/>
        <v>0</v>
      </c>
      <c r="BF79" s="17">
        <f t="shared" si="109"/>
        <v>0</v>
      </c>
      <c r="BG79" s="17">
        <f t="shared" si="109"/>
        <v>0</v>
      </c>
      <c r="BH79" s="17">
        <f t="shared" si="109"/>
        <v>0</v>
      </c>
      <c r="BI79" s="17">
        <f t="shared" si="109"/>
        <v>0</v>
      </c>
      <c r="BJ79" s="17">
        <f t="shared" si="109"/>
        <v>0</v>
      </c>
      <c r="BK79" s="17">
        <f t="shared" si="109"/>
        <v>0</v>
      </c>
    </row>
    <row r="80" spans="1:63" ht="16" thickBot="1">
      <c r="A80" s="32" t="s">
        <v>245</v>
      </c>
      <c r="B80" s="32"/>
      <c r="C80" s="34">
        <f>SUM(C78:C79)</f>
        <v>0</v>
      </c>
      <c r="D80" s="34">
        <f t="shared" ref="D80:BK80" si="110">SUM(D78:D79)</f>
        <v>0</v>
      </c>
      <c r="E80" s="34">
        <f t="shared" si="110"/>
        <v>0</v>
      </c>
      <c r="F80" s="34">
        <f t="shared" si="110"/>
        <v>0</v>
      </c>
      <c r="G80" s="34">
        <f t="shared" si="110"/>
        <v>0</v>
      </c>
      <c r="H80" s="34">
        <f t="shared" si="110"/>
        <v>0</v>
      </c>
      <c r="I80" s="34">
        <f t="shared" si="110"/>
        <v>0</v>
      </c>
      <c r="J80" s="34">
        <f t="shared" si="110"/>
        <v>0</v>
      </c>
      <c r="K80" s="34">
        <f t="shared" si="110"/>
        <v>0</v>
      </c>
      <c r="L80" s="34">
        <f t="shared" si="110"/>
        <v>0</v>
      </c>
      <c r="M80" s="34">
        <f t="shared" si="110"/>
        <v>0</v>
      </c>
      <c r="N80" s="34">
        <f t="shared" si="110"/>
        <v>0</v>
      </c>
      <c r="O80" s="34">
        <f t="shared" si="110"/>
        <v>0</v>
      </c>
      <c r="P80" s="34">
        <f t="shared" si="110"/>
        <v>0</v>
      </c>
      <c r="Q80" s="34">
        <f t="shared" si="110"/>
        <v>0</v>
      </c>
      <c r="R80" s="34">
        <f t="shared" si="110"/>
        <v>0</v>
      </c>
      <c r="S80" s="34">
        <f t="shared" si="110"/>
        <v>0</v>
      </c>
      <c r="T80" s="34">
        <f t="shared" si="110"/>
        <v>0</v>
      </c>
      <c r="U80" s="34">
        <f t="shared" si="110"/>
        <v>0</v>
      </c>
      <c r="V80" s="34">
        <f t="shared" si="110"/>
        <v>0</v>
      </c>
      <c r="W80" s="34">
        <f t="shared" si="110"/>
        <v>0</v>
      </c>
      <c r="X80" s="34">
        <f t="shared" si="110"/>
        <v>0</v>
      </c>
      <c r="Y80" s="34">
        <f t="shared" si="110"/>
        <v>0</v>
      </c>
      <c r="Z80" s="34">
        <f t="shared" si="110"/>
        <v>0</v>
      </c>
      <c r="AA80" s="34">
        <f t="shared" si="110"/>
        <v>0</v>
      </c>
      <c r="AB80" s="34">
        <f t="shared" si="110"/>
        <v>0</v>
      </c>
      <c r="AC80" s="34">
        <f t="shared" si="110"/>
        <v>0</v>
      </c>
      <c r="AD80" s="34">
        <f t="shared" si="110"/>
        <v>0</v>
      </c>
      <c r="AE80" s="34">
        <f t="shared" si="110"/>
        <v>0</v>
      </c>
      <c r="AF80" s="34">
        <f t="shared" si="110"/>
        <v>0</v>
      </c>
      <c r="AG80" s="34">
        <f t="shared" si="110"/>
        <v>0</v>
      </c>
      <c r="AH80" s="34">
        <f t="shared" si="110"/>
        <v>0</v>
      </c>
      <c r="AI80" s="34">
        <f t="shared" si="110"/>
        <v>0</v>
      </c>
      <c r="AJ80" s="34">
        <f t="shared" si="110"/>
        <v>0</v>
      </c>
      <c r="AK80" s="34">
        <f t="shared" si="110"/>
        <v>0</v>
      </c>
      <c r="AL80" s="34">
        <f t="shared" si="110"/>
        <v>0</v>
      </c>
      <c r="AM80" s="34">
        <f t="shared" si="110"/>
        <v>0</v>
      </c>
      <c r="AN80" s="34">
        <f t="shared" si="110"/>
        <v>0</v>
      </c>
      <c r="AO80" s="34">
        <f t="shared" si="110"/>
        <v>54011279.590887487</v>
      </c>
      <c r="AP80" s="34">
        <f t="shared" si="110"/>
        <v>0</v>
      </c>
      <c r="AQ80" s="34">
        <f t="shared" si="110"/>
        <v>0</v>
      </c>
      <c r="AR80" s="34">
        <f t="shared" si="110"/>
        <v>0</v>
      </c>
      <c r="AS80" s="34">
        <f t="shared" si="110"/>
        <v>0</v>
      </c>
      <c r="AT80" s="34">
        <f t="shared" si="110"/>
        <v>0</v>
      </c>
      <c r="AU80" s="34">
        <f t="shared" si="110"/>
        <v>0</v>
      </c>
      <c r="AV80" s="34">
        <f t="shared" si="110"/>
        <v>0</v>
      </c>
      <c r="AW80" s="34">
        <f t="shared" si="110"/>
        <v>0</v>
      </c>
      <c r="AX80" s="34">
        <f t="shared" si="110"/>
        <v>0</v>
      </c>
      <c r="AY80" s="34">
        <f t="shared" si="110"/>
        <v>0</v>
      </c>
      <c r="AZ80" s="34">
        <f t="shared" si="110"/>
        <v>0</v>
      </c>
      <c r="BA80" s="34">
        <f t="shared" si="110"/>
        <v>0</v>
      </c>
      <c r="BB80" s="34">
        <f t="shared" si="110"/>
        <v>0</v>
      </c>
      <c r="BC80" s="34">
        <f t="shared" si="110"/>
        <v>0</v>
      </c>
      <c r="BD80" s="34">
        <f t="shared" si="110"/>
        <v>0</v>
      </c>
      <c r="BE80" s="34">
        <f t="shared" si="110"/>
        <v>0</v>
      </c>
      <c r="BF80" s="34">
        <f t="shared" si="110"/>
        <v>0</v>
      </c>
      <c r="BG80" s="34">
        <f t="shared" si="110"/>
        <v>0</v>
      </c>
      <c r="BH80" s="34">
        <f t="shared" si="110"/>
        <v>0</v>
      </c>
      <c r="BI80" s="34">
        <f t="shared" si="110"/>
        <v>0</v>
      </c>
      <c r="BJ80" s="34">
        <f t="shared" si="110"/>
        <v>0</v>
      </c>
      <c r="BK80" s="34">
        <f t="shared" si="110"/>
        <v>0</v>
      </c>
    </row>
    <row r="81" spans="1:63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</row>
    <row r="82" spans="1:63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</row>
    <row r="83" spans="1:63">
      <c r="A83" s="329" t="s">
        <v>246</v>
      </c>
      <c r="B83" s="329"/>
      <c r="C83" s="329"/>
      <c r="D83" s="329"/>
      <c r="E83" s="329"/>
      <c r="F83" s="329"/>
      <c r="G83" s="329"/>
      <c r="H83" s="329"/>
      <c r="I83" s="329"/>
      <c r="J83" s="329"/>
      <c r="K83" s="329"/>
      <c r="L83" s="329"/>
      <c r="M83" s="329"/>
      <c r="N83" s="329"/>
      <c r="O83" s="329"/>
      <c r="P83" s="329"/>
      <c r="Q83" s="329"/>
      <c r="R83" s="329"/>
      <c r="S83" s="329"/>
      <c r="T83" s="329"/>
      <c r="U83" s="329"/>
      <c r="V83" s="329"/>
      <c r="W83" s="329"/>
      <c r="X83" s="329"/>
      <c r="Y83" s="329"/>
      <c r="Z83" s="329"/>
      <c r="AA83" s="329"/>
      <c r="AB83" s="329"/>
      <c r="AC83" s="329"/>
      <c r="AD83" s="329"/>
      <c r="AE83" s="329"/>
      <c r="AF83" s="329"/>
      <c r="AG83" s="329"/>
      <c r="AH83" s="329"/>
      <c r="AI83" s="329"/>
      <c r="AJ83" s="329"/>
      <c r="AK83" s="329"/>
      <c r="AL83" s="329"/>
      <c r="AM83" s="329"/>
      <c r="AN83" s="329"/>
      <c r="AO83" s="329"/>
      <c r="AP83" s="329"/>
      <c r="AQ83" s="329"/>
      <c r="AR83" s="329"/>
      <c r="AS83" s="329"/>
      <c r="AT83" s="329"/>
      <c r="AU83" s="329"/>
      <c r="AV83" s="329"/>
      <c r="AW83" s="329"/>
      <c r="AX83" s="329"/>
      <c r="AY83" s="329"/>
      <c r="AZ83" s="329"/>
      <c r="BA83" s="329"/>
      <c r="BB83" s="329"/>
      <c r="BC83" s="329"/>
      <c r="BD83" s="329"/>
      <c r="BE83" s="329"/>
      <c r="BF83" s="329"/>
      <c r="BG83" s="329"/>
      <c r="BH83" s="329"/>
      <c r="BI83" s="329"/>
      <c r="BJ83" s="329"/>
      <c r="BK83" s="329"/>
    </row>
    <row r="84" spans="1:63">
      <c r="A84" t="s">
        <v>247</v>
      </c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</row>
    <row r="85" spans="1:63">
      <c r="A85" s="11" t="s">
        <v>248</v>
      </c>
      <c r="C85" s="17">
        <f t="shared" ref="C85:BK87" ca="1" si="111">-C29</f>
        <v>284990.60849929764</v>
      </c>
      <c r="D85" s="17">
        <f t="shared" si="111"/>
        <v>0</v>
      </c>
      <c r="E85" s="17">
        <f t="shared" si="111"/>
        <v>0</v>
      </c>
      <c r="F85" s="17">
        <f t="shared" si="111"/>
        <v>0</v>
      </c>
      <c r="G85" s="17">
        <f t="shared" si="111"/>
        <v>0</v>
      </c>
      <c r="H85" s="17">
        <f t="shared" si="111"/>
        <v>0</v>
      </c>
      <c r="I85" s="17">
        <f t="shared" si="111"/>
        <v>0</v>
      </c>
      <c r="J85" s="17">
        <f t="shared" si="111"/>
        <v>0</v>
      </c>
      <c r="K85" s="17">
        <f t="shared" si="111"/>
        <v>0</v>
      </c>
      <c r="L85" s="17">
        <f t="shared" si="111"/>
        <v>0</v>
      </c>
      <c r="M85" s="17">
        <f t="shared" si="111"/>
        <v>0</v>
      </c>
      <c r="N85" s="17">
        <f t="shared" si="111"/>
        <v>0</v>
      </c>
      <c r="O85" s="17">
        <f t="shared" si="111"/>
        <v>0</v>
      </c>
      <c r="P85" s="17">
        <f t="shared" si="111"/>
        <v>0</v>
      </c>
      <c r="Q85" s="17">
        <f t="shared" si="111"/>
        <v>0</v>
      </c>
      <c r="R85" s="17">
        <f t="shared" si="111"/>
        <v>0</v>
      </c>
      <c r="S85" s="17">
        <f t="shared" si="111"/>
        <v>0</v>
      </c>
      <c r="T85" s="17">
        <f t="shared" si="111"/>
        <v>0</v>
      </c>
      <c r="U85" s="17">
        <f t="shared" si="111"/>
        <v>0</v>
      </c>
      <c r="V85" s="17">
        <f t="shared" si="111"/>
        <v>0</v>
      </c>
      <c r="W85" s="17">
        <f t="shared" si="111"/>
        <v>0</v>
      </c>
      <c r="X85" s="17">
        <f t="shared" si="111"/>
        <v>0</v>
      </c>
      <c r="Y85" s="17">
        <f t="shared" si="111"/>
        <v>0</v>
      </c>
      <c r="Z85" s="17">
        <f t="shared" si="111"/>
        <v>0</v>
      </c>
      <c r="AA85" s="17">
        <f t="shared" si="111"/>
        <v>0</v>
      </c>
      <c r="AB85" s="17">
        <f t="shared" si="111"/>
        <v>0</v>
      </c>
      <c r="AC85" s="17">
        <f t="shared" si="111"/>
        <v>0</v>
      </c>
      <c r="AD85" s="17">
        <f t="shared" si="111"/>
        <v>0</v>
      </c>
      <c r="AE85" s="17">
        <f t="shared" si="111"/>
        <v>0</v>
      </c>
      <c r="AF85" s="17">
        <f t="shared" si="111"/>
        <v>0</v>
      </c>
      <c r="AG85" s="17">
        <f t="shared" si="111"/>
        <v>0</v>
      </c>
      <c r="AH85" s="17">
        <f t="shared" si="111"/>
        <v>0</v>
      </c>
      <c r="AI85" s="17">
        <f t="shared" si="111"/>
        <v>0</v>
      </c>
      <c r="AJ85" s="17">
        <f t="shared" si="111"/>
        <v>0</v>
      </c>
      <c r="AK85" s="17">
        <f t="shared" si="111"/>
        <v>0</v>
      </c>
      <c r="AL85" s="17">
        <f t="shared" si="111"/>
        <v>0</v>
      </c>
      <c r="AM85" s="17">
        <f t="shared" si="111"/>
        <v>0</v>
      </c>
      <c r="AN85" s="17">
        <f t="shared" si="111"/>
        <v>0</v>
      </c>
      <c r="AO85" s="17">
        <f t="shared" si="111"/>
        <v>0</v>
      </c>
      <c r="AP85" s="17">
        <f t="shared" si="111"/>
        <v>0</v>
      </c>
      <c r="AQ85" s="17">
        <f t="shared" si="111"/>
        <v>0</v>
      </c>
      <c r="AR85" s="17">
        <f t="shared" si="111"/>
        <v>0</v>
      </c>
      <c r="AS85" s="17">
        <f t="shared" si="111"/>
        <v>0</v>
      </c>
      <c r="AT85" s="17">
        <f t="shared" si="111"/>
        <v>0</v>
      </c>
      <c r="AU85" s="17">
        <f t="shared" si="111"/>
        <v>0</v>
      </c>
      <c r="AV85" s="17">
        <f t="shared" si="111"/>
        <v>0</v>
      </c>
      <c r="AW85" s="17">
        <f t="shared" si="111"/>
        <v>0</v>
      </c>
      <c r="AX85" s="17">
        <f t="shared" si="111"/>
        <v>0</v>
      </c>
      <c r="AY85" s="17">
        <f t="shared" si="111"/>
        <v>0</v>
      </c>
      <c r="AZ85" s="17">
        <f t="shared" si="111"/>
        <v>0</v>
      </c>
      <c r="BA85" s="17">
        <f t="shared" si="111"/>
        <v>0</v>
      </c>
      <c r="BB85" s="17">
        <f t="shared" si="111"/>
        <v>0</v>
      </c>
      <c r="BC85" s="17">
        <f t="shared" si="111"/>
        <v>0</v>
      </c>
      <c r="BD85" s="17">
        <f t="shared" si="111"/>
        <v>0</v>
      </c>
      <c r="BE85" s="17">
        <f t="shared" si="111"/>
        <v>0</v>
      </c>
      <c r="BF85" s="17">
        <f t="shared" si="111"/>
        <v>0</v>
      </c>
      <c r="BG85" s="17">
        <f t="shared" si="111"/>
        <v>0</v>
      </c>
      <c r="BH85" s="17">
        <f t="shared" si="111"/>
        <v>0</v>
      </c>
      <c r="BI85" s="17">
        <f t="shared" si="111"/>
        <v>0</v>
      </c>
      <c r="BJ85" s="17">
        <f t="shared" si="111"/>
        <v>0</v>
      </c>
      <c r="BK85" s="17">
        <f t="shared" si="111"/>
        <v>0</v>
      </c>
    </row>
    <row r="86" spans="1:63">
      <c r="A86" s="11" t="s">
        <v>249</v>
      </c>
      <c r="B86" s="16">
        <f ca="1">Inputs!S49</f>
        <v>1318017.1467397907</v>
      </c>
      <c r="C86" s="17">
        <f t="shared" ca="1" si="111"/>
        <v>0</v>
      </c>
      <c r="D86" s="17">
        <f t="shared" ca="1" si="111"/>
        <v>0</v>
      </c>
      <c r="E86" s="17">
        <f t="shared" ca="1" si="111"/>
        <v>0</v>
      </c>
      <c r="F86" s="17">
        <f t="shared" ca="1" si="111"/>
        <v>0</v>
      </c>
      <c r="G86" s="17">
        <f t="shared" ca="1" si="111"/>
        <v>0</v>
      </c>
      <c r="H86" s="17">
        <f t="shared" ca="1" si="111"/>
        <v>0</v>
      </c>
      <c r="I86" s="17">
        <f t="shared" ca="1" si="111"/>
        <v>0</v>
      </c>
      <c r="J86" s="17">
        <f t="shared" ca="1" si="111"/>
        <v>0</v>
      </c>
      <c r="K86" s="17">
        <f t="shared" ca="1" si="111"/>
        <v>0</v>
      </c>
      <c r="L86" s="17">
        <f t="shared" ca="1" si="111"/>
        <v>0</v>
      </c>
      <c r="M86" s="17">
        <f t="shared" ca="1" si="111"/>
        <v>0</v>
      </c>
      <c r="N86" s="17">
        <f t="shared" ca="1" si="111"/>
        <v>0</v>
      </c>
      <c r="O86" s="17">
        <f t="shared" ca="1" si="111"/>
        <v>0</v>
      </c>
      <c r="P86" s="17">
        <f t="shared" ca="1" si="111"/>
        <v>6510.3072528453667</v>
      </c>
      <c r="Q86" s="17">
        <f t="shared" ca="1" si="111"/>
        <v>19633.800662549231</v>
      </c>
      <c r="R86" s="17">
        <f t="shared" ca="1" si="111"/>
        <v>32845.371070845213</v>
      </c>
      <c r="S86" s="17">
        <f t="shared" ca="1" si="111"/>
        <v>46145.60959961827</v>
      </c>
      <c r="T86" s="17">
        <f t="shared" ca="1" si="111"/>
        <v>59535.111338011069</v>
      </c>
      <c r="U86" s="17">
        <f t="shared" ca="1" si="111"/>
        <v>73014.475369049891</v>
      </c>
      <c r="V86" s="17">
        <f t="shared" ca="1" si="111"/>
        <v>86584.304796449258</v>
      </c>
      <c r="W86" s="17">
        <f t="shared" ca="1" si="111"/>
        <v>100245.20677159632</v>
      </c>
      <c r="X86" s="17">
        <f t="shared" ca="1" si="111"/>
        <v>113997.79252071654</v>
      </c>
      <c r="Y86" s="17">
        <f t="shared" ca="1" si="111"/>
        <v>127842.67737222149</v>
      </c>
      <c r="Z86" s="17">
        <f t="shared" ca="1" si="111"/>
        <v>141780.48078424038</v>
      </c>
      <c r="AA86" s="17">
        <f t="shared" ca="1" si="111"/>
        <v>155811.82637233631</v>
      </c>
      <c r="AB86" s="17">
        <f t="shared" ca="1" si="111"/>
        <v>169937.34193740835</v>
      </c>
      <c r="AC86" s="17">
        <f t="shared" ca="1" si="111"/>
        <v>184157.65949378119</v>
      </c>
      <c r="AD86" s="17">
        <f t="shared" si="111"/>
        <v>0</v>
      </c>
      <c r="AE86" s="17">
        <f t="shared" si="111"/>
        <v>0</v>
      </c>
      <c r="AF86" s="17">
        <f t="shared" si="111"/>
        <v>0</v>
      </c>
      <c r="AG86" s="17">
        <f t="shared" si="111"/>
        <v>0</v>
      </c>
      <c r="AH86" s="17">
        <f t="shared" si="111"/>
        <v>0</v>
      </c>
      <c r="AI86" s="17">
        <f t="shared" si="111"/>
        <v>0</v>
      </c>
      <c r="AJ86" s="17">
        <f t="shared" si="111"/>
        <v>0</v>
      </c>
      <c r="AK86" s="17">
        <f t="shared" si="111"/>
        <v>0</v>
      </c>
      <c r="AL86" s="17">
        <f t="shared" si="111"/>
        <v>0</v>
      </c>
      <c r="AM86" s="17">
        <f t="shared" si="111"/>
        <v>0</v>
      </c>
      <c r="AN86" s="17">
        <f t="shared" si="111"/>
        <v>0</v>
      </c>
      <c r="AO86" s="17">
        <f t="shared" si="111"/>
        <v>0</v>
      </c>
      <c r="AP86" s="17">
        <f t="shared" si="111"/>
        <v>0</v>
      </c>
      <c r="AQ86" s="17">
        <f t="shared" si="111"/>
        <v>0</v>
      </c>
      <c r="AR86" s="17">
        <f t="shared" si="111"/>
        <v>0</v>
      </c>
      <c r="AS86" s="17">
        <f t="shared" si="111"/>
        <v>0</v>
      </c>
      <c r="AT86" s="17">
        <f t="shared" si="111"/>
        <v>0</v>
      </c>
      <c r="AU86" s="17">
        <f t="shared" si="111"/>
        <v>0</v>
      </c>
      <c r="AV86" s="17">
        <f t="shared" si="111"/>
        <v>0</v>
      </c>
      <c r="AW86" s="17">
        <f t="shared" si="111"/>
        <v>0</v>
      </c>
      <c r="AX86" s="17">
        <f t="shared" si="111"/>
        <v>0</v>
      </c>
      <c r="AY86" s="17">
        <f t="shared" si="111"/>
        <v>0</v>
      </c>
      <c r="AZ86" s="17">
        <f t="shared" si="111"/>
        <v>0</v>
      </c>
      <c r="BA86" s="17">
        <f t="shared" si="111"/>
        <v>0</v>
      </c>
      <c r="BB86" s="17">
        <f t="shared" si="111"/>
        <v>0</v>
      </c>
      <c r="BC86" s="17">
        <f t="shared" si="111"/>
        <v>0</v>
      </c>
      <c r="BD86" s="17">
        <f t="shared" si="111"/>
        <v>0</v>
      </c>
      <c r="BE86" s="17">
        <f t="shared" si="111"/>
        <v>0</v>
      </c>
      <c r="BF86" s="17">
        <f t="shared" si="111"/>
        <v>0</v>
      </c>
      <c r="BG86" s="17">
        <f t="shared" si="111"/>
        <v>0</v>
      </c>
      <c r="BH86" s="17">
        <f t="shared" si="111"/>
        <v>0</v>
      </c>
      <c r="BI86" s="17">
        <f t="shared" si="111"/>
        <v>0</v>
      </c>
      <c r="BJ86" s="17">
        <f t="shared" si="111"/>
        <v>0</v>
      </c>
      <c r="BK86" s="17">
        <f t="shared" si="111"/>
        <v>0</v>
      </c>
    </row>
    <row r="87" spans="1:63">
      <c r="A87" s="11" t="s">
        <v>250</v>
      </c>
      <c r="B87" s="16">
        <f ca="1">Inputs!S51</f>
        <v>875381.15028367448</v>
      </c>
      <c r="C87" s="17">
        <f t="shared" si="111"/>
        <v>0</v>
      </c>
      <c r="D87" s="17">
        <f t="shared" si="111"/>
        <v>0</v>
      </c>
      <c r="E87" s="17">
        <f t="shared" si="111"/>
        <v>0</v>
      </c>
      <c r="F87" s="17">
        <f t="shared" si="111"/>
        <v>0</v>
      </c>
      <c r="G87" s="17">
        <f t="shared" si="111"/>
        <v>0</v>
      </c>
      <c r="H87" s="17">
        <f t="shared" si="111"/>
        <v>0</v>
      </c>
      <c r="I87" s="17">
        <f t="shared" si="111"/>
        <v>0</v>
      </c>
      <c r="J87" s="17">
        <f t="shared" si="111"/>
        <v>0</v>
      </c>
      <c r="K87" s="17">
        <f t="shared" si="111"/>
        <v>0</v>
      </c>
      <c r="L87" s="17">
        <f t="shared" si="111"/>
        <v>0</v>
      </c>
      <c r="M87" s="17">
        <f t="shared" si="111"/>
        <v>0</v>
      </c>
      <c r="N87" s="17">
        <f t="shared" si="111"/>
        <v>0</v>
      </c>
      <c r="O87" s="17">
        <f t="shared" si="111"/>
        <v>0</v>
      </c>
      <c r="P87" s="17">
        <f t="shared" si="111"/>
        <v>0</v>
      </c>
      <c r="Q87" s="17">
        <f t="shared" si="111"/>
        <v>0</v>
      </c>
      <c r="R87" s="17">
        <f t="shared" si="111"/>
        <v>0</v>
      </c>
      <c r="S87" s="17">
        <f t="shared" si="111"/>
        <v>0</v>
      </c>
      <c r="T87" s="17">
        <f t="shared" si="111"/>
        <v>0</v>
      </c>
      <c r="U87" s="17">
        <f t="shared" si="111"/>
        <v>0</v>
      </c>
      <c r="V87" s="17">
        <f t="shared" si="111"/>
        <v>0</v>
      </c>
      <c r="W87" s="17">
        <f t="shared" si="111"/>
        <v>0</v>
      </c>
      <c r="X87" s="17">
        <f t="shared" si="111"/>
        <v>0</v>
      </c>
      <c r="Y87" s="17">
        <f t="shared" si="111"/>
        <v>0</v>
      </c>
      <c r="Z87" s="17">
        <f t="shared" si="111"/>
        <v>0</v>
      </c>
      <c r="AA87" s="17">
        <f t="shared" si="111"/>
        <v>0</v>
      </c>
      <c r="AB87" s="17">
        <f t="shared" si="111"/>
        <v>0</v>
      </c>
      <c r="AC87" s="17">
        <f t="shared" si="111"/>
        <v>0</v>
      </c>
      <c r="AD87" s="17">
        <f t="shared" ca="1" si="111"/>
        <v>166942.1006429077</v>
      </c>
      <c r="AE87" s="17">
        <f t="shared" ca="1" si="111"/>
        <v>149611.00100412284</v>
      </c>
      <c r="AF87" s="17">
        <f t="shared" ca="1" si="111"/>
        <v>132163.58513694355</v>
      </c>
      <c r="AG87" s="17">
        <f t="shared" ca="1" si="111"/>
        <v>114599.07239658479</v>
      </c>
      <c r="AH87" s="17">
        <f t="shared" ca="1" si="111"/>
        <v>96916.676899031736</v>
      </c>
      <c r="AI87" s="17">
        <f t="shared" ca="1" si="111"/>
        <v>79115.607485876608</v>
      </c>
      <c r="AJ87" s="17">
        <f t="shared" ca="1" si="111"/>
        <v>61195.067688920448</v>
      </c>
      <c r="AK87" s="17">
        <f t="shared" ca="1" si="111"/>
        <v>43154.255694536871</v>
      </c>
      <c r="AL87" s="17">
        <f t="shared" ca="1" si="111"/>
        <v>24992.364307796524</v>
      </c>
      <c r="AM87" s="17">
        <f t="shared" ca="1" si="111"/>
        <v>6708.5809163513186</v>
      </c>
      <c r="AN87" s="17">
        <f t="shared" ca="1" si="111"/>
        <v>0</v>
      </c>
      <c r="AO87" s="17">
        <f t="shared" si="111"/>
        <v>0</v>
      </c>
      <c r="AP87" s="17">
        <f t="shared" si="111"/>
        <v>0</v>
      </c>
      <c r="AQ87" s="17">
        <f t="shared" si="111"/>
        <v>0</v>
      </c>
      <c r="AR87" s="17">
        <f t="shared" si="111"/>
        <v>0</v>
      </c>
      <c r="AS87" s="17">
        <f t="shared" si="111"/>
        <v>0</v>
      </c>
      <c r="AT87" s="17">
        <f t="shared" si="111"/>
        <v>0</v>
      </c>
      <c r="AU87" s="17">
        <f t="shared" si="111"/>
        <v>0</v>
      </c>
      <c r="AV87" s="17">
        <f t="shared" si="111"/>
        <v>0</v>
      </c>
      <c r="AW87" s="17">
        <f t="shared" si="111"/>
        <v>0</v>
      </c>
      <c r="AX87" s="17">
        <f t="shared" si="111"/>
        <v>0</v>
      </c>
      <c r="AY87" s="17">
        <f t="shared" si="111"/>
        <v>0</v>
      </c>
      <c r="AZ87" s="17">
        <f t="shared" si="111"/>
        <v>0</v>
      </c>
      <c r="BA87" s="17">
        <f t="shared" si="111"/>
        <v>0</v>
      </c>
      <c r="BB87" s="17">
        <f t="shared" si="111"/>
        <v>0</v>
      </c>
      <c r="BC87" s="17">
        <f t="shared" si="111"/>
        <v>0</v>
      </c>
      <c r="BD87" s="17">
        <f t="shared" si="111"/>
        <v>0</v>
      </c>
      <c r="BE87" s="17">
        <f t="shared" si="111"/>
        <v>0</v>
      </c>
      <c r="BF87" s="17">
        <f t="shared" si="111"/>
        <v>0</v>
      </c>
      <c r="BG87" s="17">
        <f t="shared" si="111"/>
        <v>0</v>
      </c>
      <c r="BH87" s="17">
        <f t="shared" si="111"/>
        <v>0</v>
      </c>
      <c r="BI87" s="17">
        <f t="shared" si="111"/>
        <v>0</v>
      </c>
      <c r="BJ87" s="17">
        <f t="shared" si="111"/>
        <v>0</v>
      </c>
      <c r="BK87" s="17">
        <f t="shared" si="111"/>
        <v>0</v>
      </c>
    </row>
    <row r="88" spans="1:63">
      <c r="A88" t="s">
        <v>251</v>
      </c>
      <c r="C88" s="17">
        <f t="shared" ref="C88:AH88" ca="1" si="112">C80+C71+C34</f>
        <v>-5433879.4973881869</v>
      </c>
      <c r="D88" s="17">
        <f t="shared" ca="1" si="112"/>
        <v>-148888.88888888888</v>
      </c>
      <c r="E88" s="17">
        <f t="shared" ca="1" si="112"/>
        <v>-148888.88888888888</v>
      </c>
      <c r="F88" s="17">
        <f t="shared" ca="1" si="112"/>
        <v>-148888.88888888888</v>
      </c>
      <c r="G88" s="17">
        <f t="shared" ca="1" si="112"/>
        <v>-148888.88888888888</v>
      </c>
      <c r="H88" s="17">
        <f t="shared" ca="1" si="112"/>
        <v>-148888.88888888888</v>
      </c>
      <c r="I88" s="17">
        <f t="shared" ca="1" si="112"/>
        <v>-148888.88888888888</v>
      </c>
      <c r="J88" s="17">
        <f t="shared" ca="1" si="112"/>
        <v>-1948888.888888889</v>
      </c>
      <c r="K88" s="17">
        <f t="shared" ca="1" si="112"/>
        <v>-1948888.888888889</v>
      </c>
      <c r="L88" s="17">
        <f t="shared" ca="1" si="112"/>
        <v>-1948888.888888889</v>
      </c>
      <c r="M88" s="17">
        <f t="shared" ca="1" si="112"/>
        <v>-1948888.888888889</v>
      </c>
      <c r="N88" s="17">
        <f t="shared" ca="1" si="112"/>
        <v>-1948888.888888889</v>
      </c>
      <c r="O88" s="17">
        <f t="shared" ca="1" si="112"/>
        <v>-1948888.888888889</v>
      </c>
      <c r="P88" s="17">
        <f t="shared" ca="1" si="112"/>
        <v>-1955399.1961417343</v>
      </c>
      <c r="Q88" s="17">
        <f t="shared" ca="1" si="112"/>
        <v>-1968522.6895514382</v>
      </c>
      <c r="R88" s="17">
        <f t="shared" ca="1" si="112"/>
        <v>-1981734.2599597343</v>
      </c>
      <c r="S88" s="17">
        <f t="shared" ca="1" si="112"/>
        <v>-1995034.4984885072</v>
      </c>
      <c r="T88" s="17">
        <f t="shared" ca="1" si="112"/>
        <v>-2008424.0002269</v>
      </c>
      <c r="U88" s="17">
        <f t="shared" ca="1" si="112"/>
        <v>-2021903.3642579389</v>
      </c>
      <c r="V88" s="17">
        <f t="shared" ca="1" si="112"/>
        <v>-2035473.1936853384</v>
      </c>
      <c r="W88" s="17">
        <f t="shared" ca="1" si="112"/>
        <v>-2049134.0956604853</v>
      </c>
      <c r="X88" s="17">
        <f t="shared" ca="1" si="112"/>
        <v>-2062886.6814096055</v>
      </c>
      <c r="Y88" s="17">
        <f t="shared" ca="1" si="112"/>
        <v>-2076731.5662611104</v>
      </c>
      <c r="Z88" s="17">
        <f t="shared" ca="1" si="112"/>
        <v>-2090669.3696731294</v>
      </c>
      <c r="AA88" s="17">
        <f t="shared" ca="1" si="112"/>
        <v>-2104700.7152612251</v>
      </c>
      <c r="AB88" s="17">
        <f t="shared" ca="1" si="112"/>
        <v>-2118826.2308262973</v>
      </c>
      <c r="AC88" s="17">
        <f t="shared" ca="1" si="112"/>
        <v>-2133046.5483826702</v>
      </c>
      <c r="AD88" s="17">
        <f t="shared" ca="1" si="112"/>
        <v>-148613.58734528866</v>
      </c>
      <c r="AE88" s="17">
        <f t="shared" ca="1" si="112"/>
        <v>-112953.97440888475</v>
      </c>
      <c r="AF88" s="17">
        <f t="shared" ca="1" si="112"/>
        <v>-77178.045244086432</v>
      </c>
      <c r="AG88" s="17">
        <f t="shared" ca="1" si="112"/>
        <v>-41285.019206108613</v>
      </c>
      <c r="AH88" s="17">
        <f t="shared" ca="1" si="112"/>
        <v>-5274.110410936526</v>
      </c>
      <c r="AI88" s="17">
        <f t="shared" ref="AI88:BK88" ca="1" si="113">AI80+AI71+AI34</f>
        <v>30855.472299837624</v>
      </c>
      <c r="AJ88" s="17">
        <f t="shared" ca="1" si="113"/>
        <v>67104.525394412834</v>
      </c>
      <c r="AK88" s="17">
        <f t="shared" ca="1" si="113"/>
        <v>103473.85068641548</v>
      </c>
      <c r="AL88" s="17">
        <f t="shared" ca="1" si="113"/>
        <v>139964.25537077489</v>
      </c>
      <c r="AM88" s="17">
        <f t="shared" ca="1" si="113"/>
        <v>176576.5520598391</v>
      </c>
      <c r="AN88" s="17">
        <f t="shared" ca="1" si="113"/>
        <v>207071.07450136897</v>
      </c>
      <c r="AO88" s="17">
        <f t="shared" si="113"/>
        <v>54237175.308525346</v>
      </c>
      <c r="AP88" s="17">
        <f t="shared" si="113"/>
        <v>0</v>
      </c>
      <c r="AQ88" s="17">
        <f t="shared" si="113"/>
        <v>0</v>
      </c>
      <c r="AR88" s="17">
        <f t="shared" si="113"/>
        <v>0</v>
      </c>
      <c r="AS88" s="17">
        <f t="shared" si="113"/>
        <v>0</v>
      </c>
      <c r="AT88" s="17">
        <f t="shared" si="113"/>
        <v>0</v>
      </c>
      <c r="AU88" s="17">
        <f t="shared" si="113"/>
        <v>0</v>
      </c>
      <c r="AV88" s="17">
        <f t="shared" si="113"/>
        <v>0</v>
      </c>
      <c r="AW88" s="17">
        <f t="shared" si="113"/>
        <v>0</v>
      </c>
      <c r="AX88" s="17">
        <f t="shared" si="113"/>
        <v>0</v>
      </c>
      <c r="AY88" s="17">
        <f t="shared" si="113"/>
        <v>0</v>
      </c>
      <c r="AZ88" s="17">
        <f t="shared" si="113"/>
        <v>0</v>
      </c>
      <c r="BA88" s="17">
        <f t="shared" si="113"/>
        <v>0</v>
      </c>
      <c r="BB88" s="17">
        <f t="shared" si="113"/>
        <v>0</v>
      </c>
      <c r="BC88" s="17">
        <f t="shared" si="113"/>
        <v>0</v>
      </c>
      <c r="BD88" s="17">
        <f t="shared" si="113"/>
        <v>0</v>
      </c>
      <c r="BE88" s="17">
        <f t="shared" si="113"/>
        <v>0</v>
      </c>
      <c r="BF88" s="17">
        <f t="shared" si="113"/>
        <v>0</v>
      </c>
      <c r="BG88" s="17">
        <f t="shared" si="113"/>
        <v>0</v>
      </c>
      <c r="BH88" s="17">
        <f t="shared" si="113"/>
        <v>0</v>
      </c>
      <c r="BI88" s="17">
        <f t="shared" si="113"/>
        <v>0</v>
      </c>
      <c r="BJ88" s="17">
        <f t="shared" si="113"/>
        <v>0</v>
      </c>
      <c r="BK88" s="17">
        <f t="shared" si="113"/>
        <v>0</v>
      </c>
    </row>
    <row r="89" spans="1:63">
      <c r="A89" s="37" t="s">
        <v>252</v>
      </c>
      <c r="B89" s="37"/>
      <c r="C89" s="38">
        <f ca="1">SUM(C85:C88)</f>
        <v>-5148888.888888889</v>
      </c>
      <c r="D89" s="38">
        <f t="shared" ref="D89:BK89" ca="1" si="114">SUM(D85:D88)</f>
        <v>-148888.88888888888</v>
      </c>
      <c r="E89" s="38">
        <f t="shared" ca="1" si="114"/>
        <v>-148888.88888888888</v>
      </c>
      <c r="F89" s="38">
        <f t="shared" ca="1" si="114"/>
        <v>-148888.88888888888</v>
      </c>
      <c r="G89" s="38">
        <f t="shared" ca="1" si="114"/>
        <v>-148888.88888888888</v>
      </c>
      <c r="H89" s="38">
        <f t="shared" ca="1" si="114"/>
        <v>-148888.88888888888</v>
      </c>
      <c r="I89" s="38">
        <f t="shared" ca="1" si="114"/>
        <v>-148888.88888888888</v>
      </c>
      <c r="J89" s="38">
        <f t="shared" ca="1" si="114"/>
        <v>-1948888.888888889</v>
      </c>
      <c r="K89" s="38">
        <f t="shared" ca="1" si="114"/>
        <v>-1948888.888888889</v>
      </c>
      <c r="L89" s="38">
        <f t="shared" ca="1" si="114"/>
        <v>-1948888.888888889</v>
      </c>
      <c r="M89" s="38">
        <f t="shared" ca="1" si="114"/>
        <v>-1948888.888888889</v>
      </c>
      <c r="N89" s="38">
        <f t="shared" ca="1" si="114"/>
        <v>-1948888.888888889</v>
      </c>
      <c r="O89" s="38">
        <f t="shared" ca="1" si="114"/>
        <v>-1948888.888888889</v>
      </c>
      <c r="P89" s="38">
        <f t="shared" ca="1" si="114"/>
        <v>-1948888.888888889</v>
      </c>
      <c r="Q89" s="38">
        <f t="shared" ca="1" si="114"/>
        <v>-1948888.888888889</v>
      </c>
      <c r="R89" s="38">
        <f t="shared" ca="1" si="114"/>
        <v>-1948888.888888889</v>
      </c>
      <c r="S89" s="38">
        <f t="shared" ca="1" si="114"/>
        <v>-1948888.888888889</v>
      </c>
      <c r="T89" s="38">
        <f t="shared" ca="1" si="114"/>
        <v>-1948888.888888889</v>
      </c>
      <c r="U89" s="38">
        <f t="shared" ca="1" si="114"/>
        <v>-1948888.888888889</v>
      </c>
      <c r="V89" s="38">
        <f t="shared" ca="1" si="114"/>
        <v>-1948888.888888889</v>
      </c>
      <c r="W89" s="38">
        <f t="shared" ca="1" si="114"/>
        <v>-1948888.888888889</v>
      </c>
      <c r="X89" s="38">
        <f t="shared" ca="1" si="114"/>
        <v>-1948888.888888889</v>
      </c>
      <c r="Y89" s="38">
        <f t="shared" ca="1" si="114"/>
        <v>-1948888.888888889</v>
      </c>
      <c r="Z89" s="38">
        <f t="shared" ca="1" si="114"/>
        <v>-1948888.888888889</v>
      </c>
      <c r="AA89" s="38">
        <f t="shared" ca="1" si="114"/>
        <v>-1948888.8888888888</v>
      </c>
      <c r="AB89" s="38">
        <f t="shared" ca="1" si="114"/>
        <v>-1948888.888888889</v>
      </c>
      <c r="AC89" s="38">
        <f t="shared" ca="1" si="114"/>
        <v>-1948888.888888889</v>
      </c>
      <c r="AD89" s="38">
        <f t="shared" ca="1" si="114"/>
        <v>18328.513297619036</v>
      </c>
      <c r="AE89" s="38">
        <f t="shared" ca="1" si="114"/>
        <v>36657.026595238087</v>
      </c>
      <c r="AF89" s="38">
        <f t="shared" ca="1" si="114"/>
        <v>54985.539892857123</v>
      </c>
      <c r="AG89" s="38">
        <f t="shared" ca="1" si="114"/>
        <v>73314.053190476174</v>
      </c>
      <c r="AH89" s="38">
        <f t="shared" ca="1" si="114"/>
        <v>91642.56648809521</v>
      </c>
      <c r="AI89" s="38">
        <f t="shared" ca="1" si="114"/>
        <v>109971.07978571423</v>
      </c>
      <c r="AJ89" s="38">
        <f t="shared" ca="1" si="114"/>
        <v>128299.59308333328</v>
      </c>
      <c r="AK89" s="38">
        <f t="shared" ca="1" si="114"/>
        <v>146628.10638095235</v>
      </c>
      <c r="AL89" s="38">
        <f t="shared" ca="1" si="114"/>
        <v>164956.61967857141</v>
      </c>
      <c r="AM89" s="38">
        <f t="shared" ca="1" si="114"/>
        <v>183285.13297619042</v>
      </c>
      <c r="AN89" s="38">
        <f t="shared" ca="1" si="114"/>
        <v>207071.07450136897</v>
      </c>
      <c r="AO89" s="38">
        <f t="shared" si="114"/>
        <v>54237175.308525346</v>
      </c>
      <c r="AP89" s="38">
        <f t="shared" si="114"/>
        <v>0</v>
      </c>
      <c r="AQ89" s="38">
        <f t="shared" si="114"/>
        <v>0</v>
      </c>
      <c r="AR89" s="38">
        <f t="shared" si="114"/>
        <v>0</v>
      </c>
      <c r="AS89" s="38">
        <f t="shared" si="114"/>
        <v>0</v>
      </c>
      <c r="AT89" s="38">
        <f t="shared" si="114"/>
        <v>0</v>
      </c>
      <c r="AU89" s="38">
        <f t="shared" si="114"/>
        <v>0</v>
      </c>
      <c r="AV89" s="38">
        <f t="shared" si="114"/>
        <v>0</v>
      </c>
      <c r="AW89" s="38">
        <f t="shared" si="114"/>
        <v>0</v>
      </c>
      <c r="AX89" s="38">
        <f t="shared" si="114"/>
        <v>0</v>
      </c>
      <c r="AY89" s="38">
        <f t="shared" si="114"/>
        <v>0</v>
      </c>
      <c r="AZ89" s="38">
        <f t="shared" si="114"/>
        <v>0</v>
      </c>
      <c r="BA89" s="38">
        <f t="shared" si="114"/>
        <v>0</v>
      </c>
      <c r="BB89" s="38">
        <f t="shared" si="114"/>
        <v>0</v>
      </c>
      <c r="BC89" s="38">
        <f t="shared" si="114"/>
        <v>0</v>
      </c>
      <c r="BD89" s="38">
        <f t="shared" si="114"/>
        <v>0</v>
      </c>
      <c r="BE89" s="38">
        <f t="shared" si="114"/>
        <v>0</v>
      </c>
      <c r="BF89" s="38">
        <f t="shared" si="114"/>
        <v>0</v>
      </c>
      <c r="BG89" s="38">
        <f t="shared" si="114"/>
        <v>0</v>
      </c>
      <c r="BH89" s="38">
        <f t="shared" si="114"/>
        <v>0</v>
      </c>
      <c r="BI89" s="38">
        <f t="shared" si="114"/>
        <v>0</v>
      </c>
      <c r="BJ89" s="38">
        <f t="shared" si="114"/>
        <v>0</v>
      </c>
      <c r="BK89" s="38">
        <f t="shared" si="114"/>
        <v>0</v>
      </c>
    </row>
    <row r="90" spans="1:63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</row>
    <row r="91" spans="1:63">
      <c r="A91" s="10" t="s">
        <v>184</v>
      </c>
      <c r="B91" s="10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</row>
    <row r="92" spans="1:63">
      <c r="A92" s="39" t="s">
        <v>185</v>
      </c>
      <c r="B92" s="40">
        <f ca="1">XIRR(C89:BK89, C7:BK7)</f>
        <v>0.11093985438346862</v>
      </c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</row>
    <row r="93" spans="1:63">
      <c r="A93" s="41" t="s">
        <v>186</v>
      </c>
      <c r="B93" s="42">
        <f ca="1">SUMIF(C89:BK89, "&gt;0")/-SUMIF(C89:BK89, "&lt;0")</f>
        <v>1.2317262242202527</v>
      </c>
    </row>
    <row r="94" spans="1:63">
      <c r="A94" s="43" t="s">
        <v>187</v>
      </c>
      <c r="B94" s="53">
        <f ca="1">SUM(C89:BK89)</f>
        <v>10432314.614395775</v>
      </c>
    </row>
    <row r="95" spans="1:63">
      <c r="B95" s="44"/>
    </row>
    <row r="96" spans="1:63">
      <c r="A96" t="s">
        <v>253</v>
      </c>
      <c r="B96" s="51"/>
      <c r="C96" s="30">
        <f t="shared" ref="C96:BK96" ca="1" si="115">C41</f>
        <v>-5433879.4973881869</v>
      </c>
      <c r="D96" s="30">
        <f t="shared" ca="1" si="115"/>
        <v>-148888.88888888888</v>
      </c>
      <c r="E96" s="30">
        <f t="shared" ca="1" si="115"/>
        <v>-148888.88888888888</v>
      </c>
      <c r="F96" s="30">
        <f t="shared" ca="1" si="115"/>
        <v>-148888.88888888888</v>
      </c>
      <c r="G96" s="30">
        <f t="shared" ca="1" si="115"/>
        <v>-148888.88888888888</v>
      </c>
      <c r="H96" s="30">
        <f t="shared" ca="1" si="115"/>
        <v>-148888.88888888888</v>
      </c>
      <c r="I96" s="30">
        <f t="shared" ca="1" si="115"/>
        <v>-148888.88888888888</v>
      </c>
      <c r="J96" s="30">
        <f t="shared" ca="1" si="115"/>
        <v>-1948888.888888889</v>
      </c>
      <c r="K96" s="30">
        <f t="shared" ca="1" si="115"/>
        <v>-1948888.888888889</v>
      </c>
      <c r="L96" s="30">
        <f t="shared" ca="1" si="115"/>
        <v>-1948888.888888889</v>
      </c>
      <c r="M96" s="30">
        <f t="shared" ca="1" si="115"/>
        <v>-1948888.888888889</v>
      </c>
      <c r="N96" s="30">
        <f t="shared" ca="1" si="115"/>
        <v>-1948888.888888889</v>
      </c>
      <c r="O96" s="30">
        <f t="shared" ca="1" si="115"/>
        <v>-1948888.888888889</v>
      </c>
      <c r="P96" s="30">
        <f t="shared" ca="1" si="115"/>
        <v>-978812.16854023561</v>
      </c>
      <c r="Q96" s="30">
        <f t="shared" ca="1" si="115"/>
        <v>0</v>
      </c>
      <c r="R96" s="30">
        <f t="shared" ca="1" si="115"/>
        <v>0</v>
      </c>
      <c r="S96" s="30">
        <f t="shared" ca="1" si="115"/>
        <v>0</v>
      </c>
      <c r="T96" s="30">
        <f t="shared" ca="1" si="115"/>
        <v>0</v>
      </c>
      <c r="U96" s="30">
        <f t="shared" ca="1" si="115"/>
        <v>0</v>
      </c>
      <c r="V96" s="30">
        <f t="shared" ca="1" si="115"/>
        <v>0</v>
      </c>
      <c r="W96" s="30">
        <f t="shared" ca="1" si="115"/>
        <v>0</v>
      </c>
      <c r="X96" s="30">
        <f t="shared" ca="1" si="115"/>
        <v>0</v>
      </c>
      <c r="Y96" s="30">
        <f t="shared" ca="1" si="115"/>
        <v>0</v>
      </c>
      <c r="Z96" s="30">
        <f t="shared" ca="1" si="115"/>
        <v>0</v>
      </c>
      <c r="AA96" s="30">
        <f t="shared" ca="1" si="115"/>
        <v>0</v>
      </c>
      <c r="AB96" s="30">
        <f t="shared" ca="1" si="115"/>
        <v>0</v>
      </c>
      <c r="AC96" s="30">
        <f t="shared" ca="1" si="115"/>
        <v>0</v>
      </c>
      <c r="AD96" s="30">
        <f t="shared" ca="1" si="115"/>
        <v>0</v>
      </c>
      <c r="AE96" s="30">
        <f t="shared" ca="1" si="115"/>
        <v>0</v>
      </c>
      <c r="AF96" s="30">
        <f t="shared" ca="1" si="115"/>
        <v>0</v>
      </c>
      <c r="AG96" s="30">
        <f t="shared" ca="1" si="115"/>
        <v>0</v>
      </c>
      <c r="AH96" s="30">
        <f t="shared" ca="1" si="115"/>
        <v>0</v>
      </c>
      <c r="AI96" s="30">
        <f t="shared" ca="1" si="115"/>
        <v>0</v>
      </c>
      <c r="AJ96" s="30">
        <f t="shared" ca="1" si="115"/>
        <v>0</v>
      </c>
      <c r="AK96" s="30">
        <f t="shared" ca="1" si="115"/>
        <v>0</v>
      </c>
      <c r="AL96" s="30">
        <f t="shared" ca="1" si="115"/>
        <v>0</v>
      </c>
      <c r="AM96" s="30">
        <f t="shared" ca="1" si="115"/>
        <v>0</v>
      </c>
      <c r="AN96" s="30">
        <f t="shared" ca="1" si="115"/>
        <v>0</v>
      </c>
      <c r="AO96" s="30">
        <f t="shared" ca="1" si="115"/>
        <v>0</v>
      </c>
      <c r="AP96" s="30">
        <f t="shared" ca="1" si="115"/>
        <v>0</v>
      </c>
      <c r="AQ96" s="30">
        <f t="shared" ca="1" si="115"/>
        <v>0</v>
      </c>
      <c r="AR96" s="30">
        <f t="shared" ca="1" si="115"/>
        <v>0</v>
      </c>
      <c r="AS96" s="30">
        <f t="shared" ca="1" si="115"/>
        <v>0</v>
      </c>
      <c r="AT96" s="30">
        <f t="shared" ca="1" si="115"/>
        <v>0</v>
      </c>
      <c r="AU96" s="30">
        <f t="shared" ca="1" si="115"/>
        <v>0</v>
      </c>
      <c r="AV96" s="30">
        <f t="shared" ca="1" si="115"/>
        <v>0</v>
      </c>
      <c r="AW96" s="30">
        <f t="shared" ca="1" si="115"/>
        <v>0</v>
      </c>
      <c r="AX96" s="30">
        <f t="shared" ca="1" si="115"/>
        <v>0</v>
      </c>
      <c r="AY96" s="30">
        <f t="shared" ca="1" si="115"/>
        <v>0</v>
      </c>
      <c r="AZ96" s="30">
        <f t="shared" ca="1" si="115"/>
        <v>0</v>
      </c>
      <c r="BA96" s="30">
        <f t="shared" ca="1" si="115"/>
        <v>0</v>
      </c>
      <c r="BB96" s="30">
        <f t="shared" ca="1" si="115"/>
        <v>0</v>
      </c>
      <c r="BC96" s="30">
        <f t="shared" ca="1" si="115"/>
        <v>0</v>
      </c>
      <c r="BD96" s="30">
        <f t="shared" ca="1" si="115"/>
        <v>0</v>
      </c>
      <c r="BE96" s="30">
        <f t="shared" ca="1" si="115"/>
        <v>0</v>
      </c>
      <c r="BF96" s="30">
        <f t="shared" ca="1" si="115"/>
        <v>0</v>
      </c>
      <c r="BG96" s="30">
        <f t="shared" ca="1" si="115"/>
        <v>0</v>
      </c>
      <c r="BH96" s="30">
        <f t="shared" ca="1" si="115"/>
        <v>0</v>
      </c>
      <c r="BI96" s="30">
        <f t="shared" ca="1" si="115"/>
        <v>0</v>
      </c>
      <c r="BJ96" s="30">
        <f t="shared" ca="1" si="115"/>
        <v>0</v>
      </c>
      <c r="BK96" s="30">
        <f t="shared" ca="1" si="115"/>
        <v>0</v>
      </c>
    </row>
    <row r="97" spans="1:63">
      <c r="A97" t="s">
        <v>234</v>
      </c>
      <c r="B97" s="44"/>
      <c r="C97" s="30">
        <f t="shared" ref="C97:AH97" si="116">C71</f>
        <v>0</v>
      </c>
      <c r="D97" s="30">
        <f t="shared" si="116"/>
        <v>0</v>
      </c>
      <c r="E97" s="30">
        <f t="shared" si="116"/>
        <v>0</v>
      </c>
      <c r="F97" s="30">
        <f t="shared" si="116"/>
        <v>0</v>
      </c>
      <c r="G97" s="30">
        <f t="shared" si="116"/>
        <v>0</v>
      </c>
      <c r="H97" s="30">
        <f t="shared" si="116"/>
        <v>0</v>
      </c>
      <c r="I97" s="30">
        <f t="shared" si="116"/>
        <v>0</v>
      </c>
      <c r="J97" s="30">
        <f t="shared" si="116"/>
        <v>0</v>
      </c>
      <c r="K97" s="30">
        <f t="shared" si="116"/>
        <v>0</v>
      </c>
      <c r="L97" s="30">
        <f t="shared" si="116"/>
        <v>0</v>
      </c>
      <c r="M97" s="30">
        <f t="shared" si="116"/>
        <v>0</v>
      </c>
      <c r="N97" s="30">
        <f t="shared" si="116"/>
        <v>0</v>
      </c>
      <c r="O97" s="30">
        <f t="shared" si="116"/>
        <v>0</v>
      </c>
      <c r="P97" s="30">
        <f t="shared" si="116"/>
        <v>0</v>
      </c>
      <c r="Q97" s="30">
        <f t="shared" si="116"/>
        <v>0</v>
      </c>
      <c r="R97" s="30">
        <f t="shared" si="116"/>
        <v>0</v>
      </c>
      <c r="S97" s="30">
        <f t="shared" si="116"/>
        <v>0</v>
      </c>
      <c r="T97" s="30">
        <f t="shared" si="116"/>
        <v>0</v>
      </c>
      <c r="U97" s="30">
        <f t="shared" si="116"/>
        <v>0</v>
      </c>
      <c r="V97" s="30">
        <f t="shared" si="116"/>
        <v>0</v>
      </c>
      <c r="W97" s="30">
        <f t="shared" si="116"/>
        <v>0</v>
      </c>
      <c r="X97" s="30">
        <f t="shared" si="116"/>
        <v>0</v>
      </c>
      <c r="Y97" s="30">
        <f t="shared" si="116"/>
        <v>0</v>
      </c>
      <c r="Z97" s="30">
        <f t="shared" si="116"/>
        <v>0</v>
      </c>
      <c r="AA97" s="30">
        <f t="shared" si="116"/>
        <v>0</v>
      </c>
      <c r="AB97" s="30">
        <f t="shared" si="116"/>
        <v>0</v>
      </c>
      <c r="AC97" s="30">
        <f t="shared" si="116"/>
        <v>0</v>
      </c>
      <c r="AD97" s="30">
        <f t="shared" si="116"/>
        <v>18328.513297619043</v>
      </c>
      <c r="AE97" s="30">
        <f t="shared" si="116"/>
        <v>36657.026595238087</v>
      </c>
      <c r="AF97" s="30">
        <f t="shared" si="116"/>
        <v>54985.539892857123</v>
      </c>
      <c r="AG97" s="30">
        <f t="shared" si="116"/>
        <v>73314.053190476174</v>
      </c>
      <c r="AH97" s="30">
        <f t="shared" si="116"/>
        <v>91642.56648809521</v>
      </c>
      <c r="AI97" s="30">
        <f t="shared" ref="AI97:BK97" si="117">AI71</f>
        <v>109971.07978571423</v>
      </c>
      <c r="AJ97" s="30">
        <f t="shared" si="117"/>
        <v>128299.59308333328</v>
      </c>
      <c r="AK97" s="30">
        <f t="shared" si="117"/>
        <v>146628.10638095235</v>
      </c>
      <c r="AL97" s="30">
        <f t="shared" si="117"/>
        <v>164956.61967857141</v>
      </c>
      <c r="AM97" s="30">
        <f t="shared" si="117"/>
        <v>183285.13297619042</v>
      </c>
      <c r="AN97" s="30">
        <f t="shared" si="117"/>
        <v>207071.07450136897</v>
      </c>
      <c r="AO97" s="30">
        <f t="shared" si="117"/>
        <v>225895.71763785699</v>
      </c>
      <c r="AP97" s="30">
        <f t="shared" si="117"/>
        <v>0</v>
      </c>
      <c r="AQ97" s="30">
        <f t="shared" si="117"/>
        <v>0</v>
      </c>
      <c r="AR97" s="30">
        <f t="shared" si="117"/>
        <v>0</v>
      </c>
      <c r="AS97" s="30">
        <f t="shared" si="117"/>
        <v>0</v>
      </c>
      <c r="AT97" s="30">
        <f t="shared" si="117"/>
        <v>0</v>
      </c>
      <c r="AU97" s="30">
        <f t="shared" si="117"/>
        <v>0</v>
      </c>
      <c r="AV97" s="30">
        <f t="shared" si="117"/>
        <v>0</v>
      </c>
      <c r="AW97" s="30">
        <f t="shared" si="117"/>
        <v>0</v>
      </c>
      <c r="AX97" s="30">
        <f t="shared" si="117"/>
        <v>0</v>
      </c>
      <c r="AY97" s="30">
        <f t="shared" si="117"/>
        <v>0</v>
      </c>
      <c r="AZ97" s="30">
        <f t="shared" si="117"/>
        <v>0</v>
      </c>
      <c r="BA97" s="30">
        <f t="shared" si="117"/>
        <v>0</v>
      </c>
      <c r="BB97" s="30">
        <f t="shared" si="117"/>
        <v>0</v>
      </c>
      <c r="BC97" s="30">
        <f t="shared" si="117"/>
        <v>0</v>
      </c>
      <c r="BD97" s="30">
        <f t="shared" si="117"/>
        <v>0</v>
      </c>
      <c r="BE97" s="30">
        <f t="shared" si="117"/>
        <v>0</v>
      </c>
      <c r="BF97" s="30">
        <f t="shared" si="117"/>
        <v>0</v>
      </c>
      <c r="BG97" s="30">
        <f t="shared" si="117"/>
        <v>0</v>
      </c>
      <c r="BH97" s="30">
        <f t="shared" si="117"/>
        <v>0</v>
      </c>
      <c r="BI97" s="30">
        <f t="shared" si="117"/>
        <v>0</v>
      </c>
      <c r="BJ97" s="30">
        <f t="shared" si="117"/>
        <v>0</v>
      </c>
      <c r="BK97" s="30">
        <f t="shared" si="117"/>
        <v>0</v>
      </c>
    </row>
    <row r="98" spans="1:63">
      <c r="A98" t="s">
        <v>245</v>
      </c>
      <c r="B98" s="44"/>
      <c r="C98" s="30">
        <f t="shared" ref="C98:BK98" si="118">C80</f>
        <v>0</v>
      </c>
      <c r="D98" s="30">
        <f t="shared" si="118"/>
        <v>0</v>
      </c>
      <c r="E98" s="30">
        <f t="shared" si="118"/>
        <v>0</v>
      </c>
      <c r="F98" s="30">
        <f t="shared" si="118"/>
        <v>0</v>
      </c>
      <c r="G98" s="30">
        <f t="shared" si="118"/>
        <v>0</v>
      </c>
      <c r="H98" s="30">
        <f t="shared" si="118"/>
        <v>0</v>
      </c>
      <c r="I98" s="30">
        <f t="shared" si="118"/>
        <v>0</v>
      </c>
      <c r="J98" s="30">
        <f t="shared" si="118"/>
        <v>0</v>
      </c>
      <c r="K98" s="30">
        <f t="shared" si="118"/>
        <v>0</v>
      </c>
      <c r="L98" s="30">
        <f t="shared" si="118"/>
        <v>0</v>
      </c>
      <c r="M98" s="30">
        <f t="shared" si="118"/>
        <v>0</v>
      </c>
      <c r="N98" s="30">
        <f t="shared" si="118"/>
        <v>0</v>
      </c>
      <c r="O98" s="30">
        <f t="shared" si="118"/>
        <v>0</v>
      </c>
      <c r="P98" s="30">
        <f t="shared" si="118"/>
        <v>0</v>
      </c>
      <c r="Q98" s="30">
        <f t="shared" si="118"/>
        <v>0</v>
      </c>
      <c r="R98" s="30">
        <f t="shared" si="118"/>
        <v>0</v>
      </c>
      <c r="S98" s="30">
        <f t="shared" si="118"/>
        <v>0</v>
      </c>
      <c r="T98" s="30">
        <f t="shared" si="118"/>
        <v>0</v>
      </c>
      <c r="U98" s="30">
        <f t="shared" si="118"/>
        <v>0</v>
      </c>
      <c r="V98" s="30">
        <f t="shared" si="118"/>
        <v>0</v>
      </c>
      <c r="W98" s="30">
        <f t="shared" si="118"/>
        <v>0</v>
      </c>
      <c r="X98" s="30">
        <f t="shared" si="118"/>
        <v>0</v>
      </c>
      <c r="Y98" s="30">
        <f t="shared" si="118"/>
        <v>0</v>
      </c>
      <c r="Z98" s="30">
        <f t="shared" si="118"/>
        <v>0</v>
      </c>
      <c r="AA98" s="30">
        <f t="shared" si="118"/>
        <v>0</v>
      </c>
      <c r="AB98" s="30">
        <f t="shared" si="118"/>
        <v>0</v>
      </c>
      <c r="AC98" s="30">
        <f t="shared" si="118"/>
        <v>0</v>
      </c>
      <c r="AD98" s="30">
        <f t="shared" si="118"/>
        <v>0</v>
      </c>
      <c r="AE98" s="30">
        <f t="shared" si="118"/>
        <v>0</v>
      </c>
      <c r="AF98" s="30">
        <f t="shared" si="118"/>
        <v>0</v>
      </c>
      <c r="AG98" s="30">
        <f t="shared" si="118"/>
        <v>0</v>
      </c>
      <c r="AH98" s="30">
        <f t="shared" si="118"/>
        <v>0</v>
      </c>
      <c r="AI98" s="30">
        <f t="shared" si="118"/>
        <v>0</v>
      </c>
      <c r="AJ98" s="30">
        <f t="shared" si="118"/>
        <v>0</v>
      </c>
      <c r="AK98" s="30">
        <f t="shared" si="118"/>
        <v>0</v>
      </c>
      <c r="AL98" s="30">
        <f t="shared" si="118"/>
        <v>0</v>
      </c>
      <c r="AM98" s="30">
        <f t="shared" si="118"/>
        <v>0</v>
      </c>
      <c r="AN98" s="30">
        <f t="shared" si="118"/>
        <v>0</v>
      </c>
      <c r="AO98" s="30">
        <f t="shared" si="118"/>
        <v>54011279.590887487</v>
      </c>
      <c r="AP98" s="30">
        <f t="shared" si="118"/>
        <v>0</v>
      </c>
      <c r="AQ98" s="30">
        <f t="shared" si="118"/>
        <v>0</v>
      </c>
      <c r="AR98" s="30">
        <f t="shared" si="118"/>
        <v>0</v>
      </c>
      <c r="AS98" s="30">
        <f t="shared" si="118"/>
        <v>0</v>
      </c>
      <c r="AT98" s="30">
        <f t="shared" si="118"/>
        <v>0</v>
      </c>
      <c r="AU98" s="30">
        <f t="shared" si="118"/>
        <v>0</v>
      </c>
      <c r="AV98" s="30">
        <f t="shared" si="118"/>
        <v>0</v>
      </c>
      <c r="AW98" s="30">
        <f t="shared" si="118"/>
        <v>0</v>
      </c>
      <c r="AX98" s="30">
        <f t="shared" si="118"/>
        <v>0</v>
      </c>
      <c r="AY98" s="30">
        <f t="shared" si="118"/>
        <v>0</v>
      </c>
      <c r="AZ98" s="30">
        <f t="shared" si="118"/>
        <v>0</v>
      </c>
      <c r="BA98" s="30">
        <f t="shared" si="118"/>
        <v>0</v>
      </c>
      <c r="BB98" s="30">
        <f t="shared" si="118"/>
        <v>0</v>
      </c>
      <c r="BC98" s="30">
        <f t="shared" si="118"/>
        <v>0</v>
      </c>
      <c r="BD98" s="30">
        <f t="shared" si="118"/>
        <v>0</v>
      </c>
      <c r="BE98" s="30">
        <f t="shared" si="118"/>
        <v>0</v>
      </c>
      <c r="BF98" s="30">
        <f t="shared" si="118"/>
        <v>0</v>
      </c>
      <c r="BG98" s="30">
        <f t="shared" si="118"/>
        <v>0</v>
      </c>
      <c r="BH98" s="30">
        <f t="shared" si="118"/>
        <v>0</v>
      </c>
      <c r="BI98" s="30">
        <f t="shared" si="118"/>
        <v>0</v>
      </c>
      <c r="BJ98" s="30">
        <f t="shared" si="118"/>
        <v>0</v>
      </c>
      <c r="BK98" s="30">
        <f t="shared" si="118"/>
        <v>0</v>
      </c>
    </row>
    <row r="99" spans="1:63">
      <c r="A99" t="s">
        <v>254</v>
      </c>
      <c r="B99" s="44"/>
      <c r="C99" s="17">
        <f t="shared" ref="C99:AH99" si="119">SUMIF(C65,"=1",C49)</f>
        <v>0</v>
      </c>
      <c r="D99" s="17">
        <f t="shared" si="119"/>
        <v>0</v>
      </c>
      <c r="E99" s="17">
        <f t="shared" si="119"/>
        <v>0</v>
      </c>
      <c r="F99" s="17">
        <f t="shared" si="119"/>
        <v>0</v>
      </c>
      <c r="G99" s="17">
        <f t="shared" si="119"/>
        <v>0</v>
      </c>
      <c r="H99" s="17">
        <f t="shared" si="119"/>
        <v>0</v>
      </c>
      <c r="I99" s="17">
        <f t="shared" si="119"/>
        <v>0</v>
      </c>
      <c r="J99" s="17">
        <f t="shared" si="119"/>
        <v>0</v>
      </c>
      <c r="K99" s="17">
        <f t="shared" si="119"/>
        <v>0</v>
      </c>
      <c r="L99" s="17">
        <f t="shared" si="119"/>
        <v>0</v>
      </c>
      <c r="M99" s="17">
        <f t="shared" si="119"/>
        <v>0</v>
      </c>
      <c r="N99" s="17">
        <f t="shared" si="119"/>
        <v>0</v>
      </c>
      <c r="O99" s="17">
        <f t="shared" si="119"/>
        <v>0</v>
      </c>
      <c r="P99" s="17">
        <f t="shared" si="119"/>
        <v>0</v>
      </c>
      <c r="Q99" s="17">
        <f t="shared" si="119"/>
        <v>0</v>
      </c>
      <c r="R99" s="17">
        <f t="shared" si="119"/>
        <v>0</v>
      </c>
      <c r="S99" s="17">
        <f t="shared" si="119"/>
        <v>0</v>
      </c>
      <c r="T99" s="17">
        <f t="shared" si="119"/>
        <v>0</v>
      </c>
      <c r="U99" s="17">
        <f t="shared" si="119"/>
        <v>0</v>
      </c>
      <c r="V99" s="17">
        <f t="shared" si="119"/>
        <v>0</v>
      </c>
      <c r="W99" s="17">
        <f t="shared" si="119"/>
        <v>0</v>
      </c>
      <c r="X99" s="17">
        <f t="shared" si="119"/>
        <v>0</v>
      </c>
      <c r="Y99" s="17">
        <f t="shared" si="119"/>
        <v>0</v>
      </c>
      <c r="Z99" s="17">
        <f t="shared" si="119"/>
        <v>0</v>
      </c>
      <c r="AA99" s="17">
        <f t="shared" si="119"/>
        <v>0</v>
      </c>
      <c r="AB99" s="17">
        <f t="shared" si="119"/>
        <v>0</v>
      </c>
      <c r="AC99" s="17">
        <f t="shared" si="119"/>
        <v>0</v>
      </c>
      <c r="AD99" s="17">
        <f t="shared" si="119"/>
        <v>0</v>
      </c>
      <c r="AE99" s="17">
        <f t="shared" si="119"/>
        <v>0</v>
      </c>
      <c r="AF99" s="17">
        <f t="shared" si="119"/>
        <v>0</v>
      </c>
      <c r="AG99" s="17">
        <f t="shared" si="119"/>
        <v>0</v>
      </c>
      <c r="AH99" s="17">
        <f t="shared" si="119"/>
        <v>0</v>
      </c>
      <c r="AI99" s="17">
        <f t="shared" ref="AI99:BB99" si="120">SUMIF(AI65,"=1",AI49)</f>
        <v>0</v>
      </c>
      <c r="AJ99" s="17">
        <f t="shared" si="120"/>
        <v>0</v>
      </c>
      <c r="AK99" s="17">
        <f t="shared" si="120"/>
        <v>0</v>
      </c>
      <c r="AL99" s="17">
        <f t="shared" si="120"/>
        <v>0</v>
      </c>
      <c r="AM99" s="17">
        <f t="shared" si="120"/>
        <v>0</v>
      </c>
      <c r="AN99" s="17">
        <f t="shared" si="120"/>
        <v>0</v>
      </c>
      <c r="AO99" s="17">
        <f t="shared" si="120"/>
        <v>0</v>
      </c>
      <c r="AP99" s="17">
        <f t="shared" si="120"/>
        <v>0</v>
      </c>
      <c r="AQ99" s="17">
        <f t="shared" si="120"/>
        <v>0</v>
      </c>
      <c r="AR99" s="17">
        <f t="shared" si="120"/>
        <v>0</v>
      </c>
      <c r="AS99" s="17">
        <f t="shared" si="120"/>
        <v>0</v>
      </c>
      <c r="AT99" s="17">
        <f t="shared" si="120"/>
        <v>0</v>
      </c>
      <c r="AU99" s="17">
        <f t="shared" si="120"/>
        <v>0</v>
      </c>
      <c r="AV99" s="17">
        <f t="shared" si="120"/>
        <v>0</v>
      </c>
      <c r="AW99" s="17">
        <f t="shared" si="120"/>
        <v>0</v>
      </c>
      <c r="AX99" s="17">
        <f t="shared" si="120"/>
        <v>0</v>
      </c>
      <c r="AY99" s="17">
        <f t="shared" si="120"/>
        <v>0</v>
      </c>
      <c r="AZ99" s="17">
        <f t="shared" si="120"/>
        <v>0</v>
      </c>
      <c r="BA99" s="17">
        <f t="shared" si="120"/>
        <v>0</v>
      </c>
      <c r="BB99" s="17">
        <f t="shared" si="120"/>
        <v>0</v>
      </c>
      <c r="BC99" s="17">
        <f t="shared" ref="BC99:BK99" ca="1" si="121">IF(BC65=0,0,IF(BC72=BC46,0,BC49))</f>
        <v>0</v>
      </c>
      <c r="BD99" s="17">
        <f t="shared" ca="1" si="121"/>
        <v>0</v>
      </c>
      <c r="BE99" s="17">
        <f t="shared" ca="1" si="121"/>
        <v>0</v>
      </c>
      <c r="BF99" s="17">
        <f t="shared" ca="1" si="121"/>
        <v>0</v>
      </c>
      <c r="BG99" s="17">
        <f t="shared" ca="1" si="121"/>
        <v>0</v>
      </c>
      <c r="BH99" s="17">
        <f t="shared" ca="1" si="121"/>
        <v>0</v>
      </c>
      <c r="BI99" s="17">
        <f t="shared" ca="1" si="121"/>
        <v>0</v>
      </c>
      <c r="BJ99" s="17">
        <f t="shared" ca="1" si="121"/>
        <v>0</v>
      </c>
      <c r="BK99" s="17">
        <f t="shared" ca="1" si="121"/>
        <v>0</v>
      </c>
    </row>
    <row r="100" spans="1:63">
      <c r="A100" t="s">
        <v>255</v>
      </c>
      <c r="B100" s="31">
        <f>Inputs!S96</f>
        <v>38</v>
      </c>
      <c r="C100" s="17">
        <f t="shared" ref="C100:AH100" si="122">IF(C8=$B$100,$B$60,0)</f>
        <v>0</v>
      </c>
      <c r="D100" s="17">
        <f t="shared" si="122"/>
        <v>0</v>
      </c>
      <c r="E100" s="17">
        <f t="shared" si="122"/>
        <v>0</v>
      </c>
      <c r="F100" s="17">
        <f t="shared" si="122"/>
        <v>0</v>
      </c>
      <c r="G100" s="17">
        <f t="shared" si="122"/>
        <v>0</v>
      </c>
      <c r="H100" s="17">
        <f t="shared" si="122"/>
        <v>0</v>
      </c>
      <c r="I100" s="17">
        <f t="shared" si="122"/>
        <v>0</v>
      </c>
      <c r="J100" s="17">
        <f t="shared" si="122"/>
        <v>0</v>
      </c>
      <c r="K100" s="17">
        <f t="shared" si="122"/>
        <v>0</v>
      </c>
      <c r="L100" s="17">
        <f t="shared" si="122"/>
        <v>0</v>
      </c>
      <c r="M100" s="17">
        <f t="shared" si="122"/>
        <v>0</v>
      </c>
      <c r="N100" s="17">
        <f t="shared" si="122"/>
        <v>0</v>
      </c>
      <c r="O100" s="17">
        <f t="shared" si="122"/>
        <v>0</v>
      </c>
      <c r="P100" s="17">
        <f t="shared" si="122"/>
        <v>0</v>
      </c>
      <c r="Q100" s="17">
        <f t="shared" si="122"/>
        <v>0</v>
      </c>
      <c r="R100" s="17">
        <f t="shared" si="122"/>
        <v>0</v>
      </c>
      <c r="S100" s="17">
        <f t="shared" si="122"/>
        <v>0</v>
      </c>
      <c r="T100" s="17">
        <f t="shared" si="122"/>
        <v>0</v>
      </c>
      <c r="U100" s="17">
        <f t="shared" si="122"/>
        <v>0</v>
      </c>
      <c r="V100" s="17">
        <f t="shared" si="122"/>
        <v>0</v>
      </c>
      <c r="W100" s="17">
        <f t="shared" si="122"/>
        <v>0</v>
      </c>
      <c r="X100" s="17">
        <f t="shared" si="122"/>
        <v>0</v>
      </c>
      <c r="Y100" s="17">
        <f t="shared" si="122"/>
        <v>0</v>
      </c>
      <c r="Z100" s="17">
        <f t="shared" si="122"/>
        <v>0</v>
      </c>
      <c r="AA100" s="17">
        <f t="shared" si="122"/>
        <v>0</v>
      </c>
      <c r="AB100" s="17">
        <f t="shared" si="122"/>
        <v>0</v>
      </c>
      <c r="AC100" s="17">
        <f t="shared" si="122"/>
        <v>0</v>
      </c>
      <c r="AD100" s="17">
        <f t="shared" si="122"/>
        <v>0</v>
      </c>
      <c r="AE100" s="17">
        <f t="shared" si="122"/>
        <v>0</v>
      </c>
      <c r="AF100" s="17">
        <f t="shared" si="122"/>
        <v>0</v>
      </c>
      <c r="AG100" s="17">
        <f t="shared" si="122"/>
        <v>0</v>
      </c>
      <c r="AH100" s="17">
        <f t="shared" si="122"/>
        <v>0</v>
      </c>
      <c r="AI100" s="17">
        <f t="shared" ref="AI100:BK100" si="123">IF(AI8=$B$100,$B$60,0)</f>
        <v>0</v>
      </c>
      <c r="AJ100" s="17">
        <f t="shared" si="123"/>
        <v>0</v>
      </c>
      <c r="AK100" s="17">
        <f t="shared" si="123"/>
        <v>0</v>
      </c>
      <c r="AL100" s="17">
        <f t="shared" si="123"/>
        <v>0</v>
      </c>
      <c r="AM100" s="17">
        <f t="shared" si="123"/>
        <v>0</v>
      </c>
      <c r="AN100" s="17">
        <f t="shared" si="123"/>
        <v>0</v>
      </c>
      <c r="AO100" s="17">
        <f t="shared" ca="1" si="123"/>
        <v>0</v>
      </c>
      <c r="AP100" s="17">
        <f t="shared" si="123"/>
        <v>0</v>
      </c>
      <c r="AQ100" s="17">
        <f t="shared" si="123"/>
        <v>0</v>
      </c>
      <c r="AR100" s="17">
        <f t="shared" si="123"/>
        <v>0</v>
      </c>
      <c r="AS100" s="17">
        <f t="shared" si="123"/>
        <v>0</v>
      </c>
      <c r="AT100" s="17">
        <f t="shared" si="123"/>
        <v>0</v>
      </c>
      <c r="AU100" s="17">
        <f t="shared" si="123"/>
        <v>0</v>
      </c>
      <c r="AV100" s="17">
        <f t="shared" si="123"/>
        <v>0</v>
      </c>
      <c r="AW100" s="17">
        <f t="shared" si="123"/>
        <v>0</v>
      </c>
      <c r="AX100" s="17">
        <f t="shared" si="123"/>
        <v>0</v>
      </c>
      <c r="AY100" s="17">
        <f t="shared" si="123"/>
        <v>0</v>
      </c>
      <c r="AZ100" s="17">
        <f t="shared" si="123"/>
        <v>0</v>
      </c>
      <c r="BA100" s="17">
        <f t="shared" si="123"/>
        <v>0</v>
      </c>
      <c r="BB100" s="17">
        <f t="shared" si="123"/>
        <v>0</v>
      </c>
      <c r="BC100" s="17">
        <f t="shared" si="123"/>
        <v>0</v>
      </c>
      <c r="BD100" s="17">
        <f t="shared" si="123"/>
        <v>0</v>
      </c>
      <c r="BE100" s="17">
        <f t="shared" si="123"/>
        <v>0</v>
      </c>
      <c r="BF100" s="17">
        <f t="shared" si="123"/>
        <v>0</v>
      </c>
      <c r="BG100" s="17">
        <f t="shared" si="123"/>
        <v>0</v>
      </c>
      <c r="BH100" s="17">
        <f t="shared" si="123"/>
        <v>0</v>
      </c>
      <c r="BI100" s="17">
        <f t="shared" si="123"/>
        <v>0</v>
      </c>
      <c r="BJ100" s="17">
        <f t="shared" si="123"/>
        <v>0</v>
      </c>
      <c r="BK100" s="17">
        <f t="shared" si="123"/>
        <v>0</v>
      </c>
    </row>
    <row r="101" spans="1:63">
      <c r="A101" t="s">
        <v>256</v>
      </c>
      <c r="B101" s="31">
        <f>Inputs!S96</f>
        <v>38</v>
      </c>
      <c r="C101" s="17">
        <f>IF(C8=$B$101,SUM($C46:C$46),0)</f>
        <v>0</v>
      </c>
      <c r="D101" s="17">
        <f>IF(D8=$B$101,SUM($C46:D$46),0)</f>
        <v>0</v>
      </c>
      <c r="E101" s="17">
        <f>IF(E8=$B$101,SUM($C46:E$46),0)</f>
        <v>0</v>
      </c>
      <c r="F101" s="17">
        <f>IF(F8=$B$101,SUM($C46:F$46),0)</f>
        <v>0</v>
      </c>
      <c r="G101" s="17">
        <f>IF(G8=$B$101,SUM($C46:G$46),0)</f>
        <v>0</v>
      </c>
      <c r="H101" s="17">
        <f>IF(H8=$B$101,SUM($C46:H$46),0)</f>
        <v>0</v>
      </c>
      <c r="I101" s="17">
        <f>IF(I8=$B$101,SUM($C46:I$46),0)</f>
        <v>0</v>
      </c>
      <c r="J101" s="17">
        <f>IF(J8=$B$101,SUM($C46:J$46),0)</f>
        <v>0</v>
      </c>
      <c r="K101" s="17">
        <f>IF(K8=$B$101,SUM($C46:K$46),0)</f>
        <v>0</v>
      </c>
      <c r="L101" s="17">
        <f>IF(L8=$B$101,SUM($C46:L$46),0)</f>
        <v>0</v>
      </c>
      <c r="M101" s="17">
        <f>IF(M8=$B$101,SUM($C46:M$46),0)</f>
        <v>0</v>
      </c>
      <c r="N101" s="17">
        <f>IF(N8=$B$101,SUM($C46:N$46),0)</f>
        <v>0</v>
      </c>
      <c r="O101" s="17">
        <f>IF(O8=$B$101,SUM($C46:O$46),0)</f>
        <v>0</v>
      </c>
      <c r="P101" s="17">
        <f>IF(P8=$B$101,SUM($C46:P$46),0)</f>
        <v>0</v>
      </c>
      <c r="Q101" s="17">
        <f>IF(Q8=$B$101,SUM($C46:Q$46),0)</f>
        <v>0</v>
      </c>
      <c r="R101" s="17">
        <f>IF(R8=$B$101,SUM($C46:R$46),0)</f>
        <v>0</v>
      </c>
      <c r="S101" s="17">
        <f>IF(S8=$B$101,SUM($C46:S$46),0)</f>
        <v>0</v>
      </c>
      <c r="T101" s="17">
        <f>IF(T8=$B$101,SUM($C46:T$46),0)</f>
        <v>0</v>
      </c>
      <c r="U101" s="17">
        <f>IF(U8=$B$101,SUM($C46:U$46),0)</f>
        <v>0</v>
      </c>
      <c r="V101" s="17">
        <f>IF(V8=$B$101,SUM($C46:V$46),0)</f>
        <v>0</v>
      </c>
      <c r="W101" s="17">
        <f>IF(W8=$B$101,SUM($C46:W$46),0)</f>
        <v>0</v>
      </c>
      <c r="X101" s="17">
        <f>IF(X8=$B$101,SUM($C46:X$46),0)</f>
        <v>0</v>
      </c>
      <c r="Y101" s="17">
        <f>IF(Y8=$B$101,SUM($C46:Y$46),0)</f>
        <v>0</v>
      </c>
      <c r="Z101" s="17">
        <f>IF(Z8=$B$101,SUM($C46:Z$46),0)</f>
        <v>0</v>
      </c>
      <c r="AA101" s="17">
        <f>IF(AA8=$B$101,SUM($C46:AA$46),0)</f>
        <v>0</v>
      </c>
      <c r="AB101" s="17">
        <f>IF(AB8=$B$101,SUM($C46:AB$46),0)</f>
        <v>0</v>
      </c>
      <c r="AC101" s="17">
        <f>IF(AC8=$B$101,SUM($C46:AC$46),0)</f>
        <v>0</v>
      </c>
      <c r="AD101" s="17">
        <f>IF(AD8=$B$101,SUM($C46:AD$46),0)</f>
        <v>0</v>
      </c>
      <c r="AE101" s="17">
        <f>IF(AE8=$B$101,SUM($C46:AE$46),0)</f>
        <v>0</v>
      </c>
      <c r="AF101" s="17">
        <f>IF(AF8=$B$101,SUM($C46:AF$46),0)</f>
        <v>0</v>
      </c>
      <c r="AG101" s="17">
        <f>IF(AG8=$B$101,SUM($C46:AG$46),0)</f>
        <v>0</v>
      </c>
      <c r="AH101" s="17">
        <f>IF(AH8=$B$101,SUM($C46:AH$46),0)</f>
        <v>0</v>
      </c>
      <c r="AI101" s="17">
        <f>IF(AI8=$B$101,SUM($C46:AI$46),0)</f>
        <v>0</v>
      </c>
      <c r="AJ101" s="17">
        <f>IF(AJ8=$B$101,SUM($C46:AJ$46),0)</f>
        <v>0</v>
      </c>
      <c r="AK101" s="17">
        <f>IF(AK8=$B$101,SUM($C46:AK$46),0)</f>
        <v>0</v>
      </c>
      <c r="AL101" s="17">
        <f>IF(AL8=$B$101,SUM($C46:AL$46),0)</f>
        <v>0</v>
      </c>
      <c r="AM101" s="17">
        <f>IF(AM8=$B$101,SUM($C46:AM$46),0)</f>
        <v>0</v>
      </c>
      <c r="AN101" s="17">
        <f>IF(AN8=$B$101,SUM($C46:AN$46),0)</f>
        <v>0</v>
      </c>
      <c r="AO101" s="17">
        <f ca="1">IF(AO8=$B$101,SUM($C46:AO$46),0)</f>
        <v>-28499072.553418942</v>
      </c>
      <c r="AP101" s="17">
        <f>IF(AP8=$B$101,SUM($C46:AP$46),0)</f>
        <v>0</v>
      </c>
      <c r="AQ101" s="17">
        <f>IF(AQ8=$B$101,SUM($C46:AQ$46),0)</f>
        <v>0</v>
      </c>
      <c r="AR101" s="17">
        <f>IF(AR8=$B$101,SUM($C46:AR$46),0)</f>
        <v>0</v>
      </c>
      <c r="AS101" s="17">
        <f>IF(AS8=$B$101,SUM($C46:AS$46),0)</f>
        <v>0</v>
      </c>
      <c r="AT101" s="17">
        <f>IF(AT8=$B$101,SUM($C46:AT$46),0)</f>
        <v>0</v>
      </c>
      <c r="AU101" s="17">
        <f>IF(AU8=$B$101,SUM($C46:AU$46),0)</f>
        <v>0</v>
      </c>
      <c r="AV101" s="17">
        <f>IF(AV8=$B$101,SUM($C46:AV$46),0)</f>
        <v>0</v>
      </c>
      <c r="AW101" s="17">
        <f>IF(AW8=$B$101,SUM($C46:AW$46),0)</f>
        <v>0</v>
      </c>
      <c r="AX101" s="17">
        <f>IF(AX8=$B$101,SUM($C46:AX$46),0)</f>
        <v>0</v>
      </c>
      <c r="AY101" s="17">
        <f>IF(AY8=$B$101,SUM($C46:AY$46),0)</f>
        <v>0</v>
      </c>
      <c r="AZ101" s="17">
        <f>IF(AZ8=$B$101,SUM($C46:AZ$46),0)</f>
        <v>0</v>
      </c>
      <c r="BA101" s="17">
        <f>IF(BA8=$B$101,SUM($C46:BA$46),0)</f>
        <v>0</v>
      </c>
      <c r="BB101" s="17">
        <f>IF(BB8=$B$101,SUM($C46:BB$46),0)</f>
        <v>0</v>
      </c>
      <c r="BC101" s="17">
        <f>IF(BC8=$B$101,SUM($C46:BC$46),0)</f>
        <v>0</v>
      </c>
      <c r="BD101" s="17">
        <f>IF(BD8=$B$101,SUM($C46:BD$46),0)</f>
        <v>0</v>
      </c>
      <c r="BE101" s="17">
        <f>IF(BE8=$B$101,SUM($C46:BE$46),0)</f>
        <v>0</v>
      </c>
      <c r="BF101" s="17">
        <f>IF(BF8=$B$101,SUM($C46:BF$46),0)</f>
        <v>0</v>
      </c>
      <c r="BG101" s="17">
        <f>IF(BG8=$B$101,SUM($C46:BG$46),0)</f>
        <v>0</v>
      </c>
      <c r="BH101" s="17">
        <f>IF(BH8=$B$101,SUM($C46:BH$46),0)</f>
        <v>0</v>
      </c>
      <c r="BI101" s="17">
        <f>IF(BI8=$B$101,SUM($C46:BI$46),0)</f>
        <v>0</v>
      </c>
      <c r="BJ101" s="17">
        <f>IF(BJ8=$B$101,SUM($C46:BJ$46),0)</f>
        <v>0</v>
      </c>
      <c r="BK101" s="17">
        <f>IF(BK8=$B$101,SUM($C46:BK$46),0)</f>
        <v>0</v>
      </c>
    </row>
    <row r="102" spans="1:63">
      <c r="A102" s="52" t="s">
        <v>257</v>
      </c>
      <c r="B102" s="37"/>
      <c r="C102" s="38">
        <f ca="1">SUM(C96:C101)</f>
        <v>-5433879.4973881869</v>
      </c>
      <c r="D102" s="38">
        <f t="shared" ref="D102:BK102" ca="1" si="124">SUM(D96:D101)</f>
        <v>-148888.88888888888</v>
      </c>
      <c r="E102" s="38">
        <f t="shared" ca="1" si="124"/>
        <v>-148888.88888888888</v>
      </c>
      <c r="F102" s="38">
        <f t="shared" ca="1" si="124"/>
        <v>-148888.88888888888</v>
      </c>
      <c r="G102" s="38">
        <f t="shared" ca="1" si="124"/>
        <v>-148888.88888888888</v>
      </c>
      <c r="H102" s="38">
        <f t="shared" ca="1" si="124"/>
        <v>-148888.88888888888</v>
      </c>
      <c r="I102" s="38">
        <f t="shared" ca="1" si="124"/>
        <v>-148888.88888888888</v>
      </c>
      <c r="J102" s="38">
        <f t="shared" ca="1" si="124"/>
        <v>-1948888.888888889</v>
      </c>
      <c r="K102" s="38">
        <f t="shared" ca="1" si="124"/>
        <v>-1948888.888888889</v>
      </c>
      <c r="L102" s="38">
        <f t="shared" ca="1" si="124"/>
        <v>-1948888.888888889</v>
      </c>
      <c r="M102" s="38">
        <f t="shared" ca="1" si="124"/>
        <v>-1948888.888888889</v>
      </c>
      <c r="N102" s="38">
        <f t="shared" ca="1" si="124"/>
        <v>-1948888.888888889</v>
      </c>
      <c r="O102" s="38">
        <f t="shared" ca="1" si="124"/>
        <v>-1948888.888888889</v>
      </c>
      <c r="P102" s="38">
        <f t="shared" ca="1" si="124"/>
        <v>-978812.16854023561</v>
      </c>
      <c r="Q102" s="38">
        <f t="shared" ca="1" si="124"/>
        <v>0</v>
      </c>
      <c r="R102" s="38">
        <f t="shared" ca="1" si="124"/>
        <v>0</v>
      </c>
      <c r="S102" s="38">
        <f t="shared" ca="1" si="124"/>
        <v>0</v>
      </c>
      <c r="T102" s="38">
        <f t="shared" ca="1" si="124"/>
        <v>0</v>
      </c>
      <c r="U102" s="38">
        <f t="shared" ca="1" si="124"/>
        <v>0</v>
      </c>
      <c r="V102" s="38">
        <f t="shared" ca="1" si="124"/>
        <v>0</v>
      </c>
      <c r="W102" s="38">
        <f t="shared" ca="1" si="124"/>
        <v>0</v>
      </c>
      <c r="X102" s="38">
        <f t="shared" ca="1" si="124"/>
        <v>0</v>
      </c>
      <c r="Y102" s="38">
        <f t="shared" ca="1" si="124"/>
        <v>0</v>
      </c>
      <c r="Z102" s="38">
        <f t="shared" ca="1" si="124"/>
        <v>0</v>
      </c>
      <c r="AA102" s="38">
        <f t="shared" ca="1" si="124"/>
        <v>0</v>
      </c>
      <c r="AB102" s="38">
        <f t="shared" ca="1" si="124"/>
        <v>0</v>
      </c>
      <c r="AC102" s="38">
        <f t="shared" ca="1" si="124"/>
        <v>0</v>
      </c>
      <c r="AD102" s="38">
        <f t="shared" ca="1" si="124"/>
        <v>18328.513297619043</v>
      </c>
      <c r="AE102" s="38">
        <f t="shared" ca="1" si="124"/>
        <v>36657.026595238087</v>
      </c>
      <c r="AF102" s="38">
        <f t="shared" ca="1" si="124"/>
        <v>54985.539892857123</v>
      </c>
      <c r="AG102" s="38">
        <f t="shared" ca="1" si="124"/>
        <v>73314.053190476174</v>
      </c>
      <c r="AH102" s="38">
        <f t="shared" ca="1" si="124"/>
        <v>91642.56648809521</v>
      </c>
      <c r="AI102" s="38">
        <f t="shared" ca="1" si="124"/>
        <v>109971.07978571423</v>
      </c>
      <c r="AJ102" s="38">
        <f t="shared" ca="1" si="124"/>
        <v>128299.59308333328</v>
      </c>
      <c r="AK102" s="38">
        <f t="shared" ca="1" si="124"/>
        <v>146628.10638095235</v>
      </c>
      <c r="AL102" s="38">
        <f t="shared" ca="1" si="124"/>
        <v>164956.61967857141</v>
      </c>
      <c r="AM102" s="38">
        <f t="shared" ca="1" si="124"/>
        <v>183285.13297619042</v>
      </c>
      <c r="AN102" s="38">
        <f t="shared" ca="1" si="124"/>
        <v>207071.07450136897</v>
      </c>
      <c r="AO102" s="38">
        <f t="shared" ca="1" si="124"/>
        <v>25738102.755106404</v>
      </c>
      <c r="AP102" s="38">
        <f t="shared" ca="1" si="124"/>
        <v>0</v>
      </c>
      <c r="AQ102" s="38">
        <f t="shared" ca="1" si="124"/>
        <v>0</v>
      </c>
      <c r="AR102" s="38">
        <f t="shared" ca="1" si="124"/>
        <v>0</v>
      </c>
      <c r="AS102" s="38">
        <f t="shared" ca="1" si="124"/>
        <v>0</v>
      </c>
      <c r="AT102" s="38">
        <f t="shared" ca="1" si="124"/>
        <v>0</v>
      </c>
      <c r="AU102" s="38">
        <f t="shared" ca="1" si="124"/>
        <v>0</v>
      </c>
      <c r="AV102" s="38">
        <f t="shared" ca="1" si="124"/>
        <v>0</v>
      </c>
      <c r="AW102" s="38">
        <f t="shared" ca="1" si="124"/>
        <v>0</v>
      </c>
      <c r="AX102" s="38">
        <f t="shared" ca="1" si="124"/>
        <v>0</v>
      </c>
      <c r="AY102" s="38">
        <f t="shared" ca="1" si="124"/>
        <v>0</v>
      </c>
      <c r="AZ102" s="38">
        <f t="shared" ca="1" si="124"/>
        <v>0</v>
      </c>
      <c r="BA102" s="38">
        <f t="shared" ca="1" si="124"/>
        <v>0</v>
      </c>
      <c r="BB102" s="38">
        <f t="shared" ca="1" si="124"/>
        <v>0</v>
      </c>
      <c r="BC102" s="38">
        <f t="shared" ca="1" si="124"/>
        <v>0</v>
      </c>
      <c r="BD102" s="38">
        <f t="shared" ca="1" si="124"/>
        <v>0</v>
      </c>
      <c r="BE102" s="38">
        <f t="shared" ca="1" si="124"/>
        <v>0</v>
      </c>
      <c r="BF102" s="38">
        <f t="shared" ca="1" si="124"/>
        <v>0</v>
      </c>
      <c r="BG102" s="38">
        <f t="shared" ca="1" si="124"/>
        <v>0</v>
      </c>
      <c r="BH102" s="38">
        <f t="shared" ca="1" si="124"/>
        <v>0</v>
      </c>
      <c r="BI102" s="38">
        <f t="shared" ca="1" si="124"/>
        <v>0</v>
      </c>
      <c r="BJ102" s="38">
        <f t="shared" ca="1" si="124"/>
        <v>0</v>
      </c>
      <c r="BK102" s="38">
        <f t="shared" ca="1" si="124"/>
        <v>0</v>
      </c>
    </row>
    <row r="104" spans="1:63">
      <c r="A104" s="10" t="s">
        <v>188</v>
      </c>
      <c r="B104" s="10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</row>
    <row r="105" spans="1:63">
      <c r="A105" s="39" t="s">
        <v>189</v>
      </c>
      <c r="B105" s="40">
        <f ca="1">XIRR(C102:BK102, $C$7:$BK$7)</f>
        <v>0.14394027590751651</v>
      </c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</row>
    <row r="106" spans="1:63">
      <c r="A106" s="41" t="s">
        <v>186</v>
      </c>
      <c r="B106" s="42">
        <f ca="1">SUMIF(C102:BK102, "&gt;0")/-SUMIF(C102:BK102, "&lt;0")</f>
        <v>1.4186395976718928</v>
      </c>
    </row>
    <row r="107" spans="1:63">
      <c r="A107" s="43" t="s">
        <v>187</v>
      </c>
      <c r="B107" s="45">
        <f ca="1">SUM(C102:BK102)</f>
        <v>7953883.7283817306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B66C6-F95D-4139-A3E8-81179B75C24D}">
  <dimension ref="A1:F31"/>
  <sheetViews>
    <sheetView workbookViewId="0">
      <selection activeCell="G33" sqref="G33"/>
    </sheetView>
  </sheetViews>
  <sheetFormatPr baseColWidth="10" defaultColWidth="8.83203125" defaultRowHeight="15"/>
  <cols>
    <col min="1" max="1" width="17.5" bestFit="1" customWidth="1"/>
    <col min="2" max="2" width="14.33203125" bestFit="1" customWidth="1"/>
    <col min="4" max="4" width="11.83203125" customWidth="1"/>
    <col min="6" max="6" width="11.5" bestFit="1" customWidth="1"/>
  </cols>
  <sheetData>
    <row r="1" spans="1:6">
      <c r="A1" s="10" t="s">
        <v>259</v>
      </c>
    </row>
    <row r="2" spans="1:6">
      <c r="A2" t="s">
        <v>260</v>
      </c>
      <c r="B2" t="s">
        <v>261</v>
      </c>
    </row>
    <row r="3" spans="1:6">
      <c r="A3" t="s">
        <v>262</v>
      </c>
      <c r="B3" t="s">
        <v>263</v>
      </c>
    </row>
    <row r="4" spans="1:6">
      <c r="A4" t="s">
        <v>197</v>
      </c>
      <c r="B4">
        <v>2024</v>
      </c>
    </row>
    <row r="5" spans="1:6">
      <c r="A5" t="s">
        <v>264</v>
      </c>
      <c r="B5" s="7">
        <v>58035113</v>
      </c>
      <c r="C5" t="s">
        <v>265</v>
      </c>
      <c r="D5" s="30">
        <f>B5*0.2524</f>
        <v>14648062.521200001</v>
      </c>
      <c r="E5" t="s">
        <v>266</v>
      </c>
    </row>
    <row r="6" spans="1:6">
      <c r="A6" t="s">
        <v>80</v>
      </c>
      <c r="B6" s="7">
        <v>6978</v>
      </c>
      <c r="C6" t="s">
        <v>267</v>
      </c>
      <c r="D6" s="30">
        <f>B6*10.764</f>
        <v>75111.191999999995</v>
      </c>
      <c r="E6" t="s">
        <v>99</v>
      </c>
    </row>
    <row r="7" spans="1:6">
      <c r="A7" t="s">
        <v>268</v>
      </c>
      <c r="B7" s="7"/>
      <c r="D7" s="30">
        <f>D5/D6</f>
        <v>195.01837384234298</v>
      </c>
      <c r="E7" t="s">
        <v>269</v>
      </c>
    </row>
    <row r="8" spans="1:6">
      <c r="D8" s="30"/>
    </row>
    <row r="9" spans="1:6">
      <c r="A9" t="s">
        <v>270</v>
      </c>
      <c r="B9" s="7">
        <v>665080.92000000004</v>
      </c>
      <c r="C9" t="s">
        <v>265</v>
      </c>
      <c r="D9" s="30">
        <f t="shared" ref="D9:D18" si="0">B9*0.2524</f>
        <v>167866.42420800001</v>
      </c>
      <c r="E9" t="s">
        <v>266</v>
      </c>
      <c r="F9" s="30"/>
    </row>
    <row r="10" spans="1:6">
      <c r="A10" t="s">
        <v>271</v>
      </c>
      <c r="B10" s="7">
        <v>166597.68000000002</v>
      </c>
      <c r="C10" t="s">
        <v>265</v>
      </c>
      <c r="D10" s="30">
        <f t="shared" si="0"/>
        <v>42049.254432000009</v>
      </c>
      <c r="E10" t="s">
        <v>266</v>
      </c>
      <c r="F10" s="30"/>
    </row>
    <row r="11" spans="1:6">
      <c r="A11" t="s">
        <v>272</v>
      </c>
      <c r="B11" s="7">
        <v>11479429.080000002</v>
      </c>
      <c r="C11" t="s">
        <v>265</v>
      </c>
      <c r="D11" s="30">
        <f t="shared" si="0"/>
        <v>2897407.8997920007</v>
      </c>
      <c r="E11" t="s">
        <v>266</v>
      </c>
      <c r="F11" s="30"/>
    </row>
    <row r="12" spans="1:6">
      <c r="A12" t="s">
        <v>273</v>
      </c>
      <c r="B12" s="7">
        <v>29902857.210000001</v>
      </c>
      <c r="C12" t="s">
        <v>265</v>
      </c>
      <c r="D12" s="30">
        <f t="shared" si="0"/>
        <v>7547481.1598040005</v>
      </c>
      <c r="E12" t="s">
        <v>266</v>
      </c>
      <c r="F12" s="30"/>
    </row>
    <row r="13" spans="1:6">
      <c r="A13" t="s">
        <v>274</v>
      </c>
      <c r="B13" s="7">
        <v>3373790.6100000003</v>
      </c>
      <c r="C13" t="s">
        <v>265</v>
      </c>
      <c r="D13" s="30">
        <f t="shared" si="0"/>
        <v>851544.74996400008</v>
      </c>
      <c r="E13" t="s">
        <v>266</v>
      </c>
      <c r="F13" s="30"/>
    </row>
    <row r="14" spans="1:6">
      <c r="A14" t="s">
        <v>275</v>
      </c>
      <c r="B14" s="7">
        <v>2475886.08</v>
      </c>
      <c r="C14" t="s">
        <v>265</v>
      </c>
      <c r="D14" s="30">
        <f t="shared" si="0"/>
        <v>624913.64659200003</v>
      </c>
      <c r="E14" t="s">
        <v>266</v>
      </c>
      <c r="F14" s="30"/>
    </row>
    <row r="15" spans="1:6">
      <c r="A15" t="s">
        <v>276</v>
      </c>
      <c r="B15" s="7">
        <v>302104.26</v>
      </c>
      <c r="C15" t="s">
        <v>265</v>
      </c>
      <c r="D15" s="30">
        <f t="shared" si="0"/>
        <v>76251.115224000008</v>
      </c>
      <c r="E15" t="s">
        <v>266</v>
      </c>
      <c r="F15" s="30"/>
    </row>
    <row r="16" spans="1:6">
      <c r="A16" t="s">
        <v>277</v>
      </c>
      <c r="B16" s="7">
        <v>4106653.68</v>
      </c>
      <c r="C16" t="s">
        <v>265</v>
      </c>
      <c r="D16" s="30">
        <f t="shared" si="0"/>
        <v>1036519.3888320001</v>
      </c>
      <c r="E16" t="s">
        <v>266</v>
      </c>
      <c r="F16" s="391"/>
    </row>
    <row r="17" spans="1:6">
      <c r="A17" t="s">
        <v>278</v>
      </c>
      <c r="B17" s="7">
        <v>2204224.6800000002</v>
      </c>
      <c r="C17" t="s">
        <v>265</v>
      </c>
      <c r="D17" s="30">
        <f t="shared" si="0"/>
        <v>556346.30923200003</v>
      </c>
      <c r="E17" t="s">
        <v>266</v>
      </c>
      <c r="F17" s="30"/>
    </row>
    <row r="18" spans="1:6">
      <c r="A18" t="s">
        <v>279</v>
      </c>
      <c r="B18" s="7">
        <f>3407089.5-48000</f>
        <v>3359089.5</v>
      </c>
      <c r="C18" t="s">
        <v>265</v>
      </c>
      <c r="D18" s="30">
        <f t="shared" si="0"/>
        <v>847834.18980000005</v>
      </c>
      <c r="E18" t="s">
        <v>266</v>
      </c>
      <c r="F18" s="30"/>
    </row>
    <row r="19" spans="1:6">
      <c r="B19" s="7"/>
      <c r="D19" s="30"/>
      <c r="F19" s="30"/>
    </row>
    <row r="20" spans="1:6">
      <c r="A20" t="s">
        <v>280</v>
      </c>
      <c r="B20" s="389">
        <f>SUM(D9:D12,D15,D17:D18)/D6</f>
        <v>161.56362360075448</v>
      </c>
      <c r="C20" t="s">
        <v>269</v>
      </c>
      <c r="D20" s="30"/>
      <c r="F20" s="30"/>
    </row>
    <row r="21" spans="1:6">
      <c r="A21" t="s">
        <v>275</v>
      </c>
      <c r="B21" s="389">
        <f>D14/D6</f>
        <v>8.3198472817739351</v>
      </c>
      <c r="C21" t="s">
        <v>269</v>
      </c>
      <c r="D21" s="30"/>
      <c r="F21" s="30"/>
    </row>
    <row r="22" spans="1:6">
      <c r="A22" t="s">
        <v>281</v>
      </c>
      <c r="B22" s="389">
        <f>D16/D6</f>
        <v>13.799799487032507</v>
      </c>
      <c r="C22" t="s">
        <v>269</v>
      </c>
      <c r="D22" s="30"/>
      <c r="F22" s="30"/>
    </row>
    <row r="23" spans="1:6">
      <c r="A23" t="s">
        <v>103</v>
      </c>
      <c r="B23" s="7">
        <f>D13</f>
        <v>851544.74996400008</v>
      </c>
      <c r="C23" t="s">
        <v>266</v>
      </c>
      <c r="D23" s="30"/>
      <c r="F23" s="30"/>
    </row>
    <row r="24" spans="1:6">
      <c r="B24" s="390"/>
    </row>
    <row r="25" spans="1:6">
      <c r="A25" s="10" t="s">
        <v>282</v>
      </c>
    </row>
    <row r="26" spans="1:6">
      <c r="A26" t="s">
        <v>260</v>
      </c>
      <c r="B26" t="s">
        <v>283</v>
      </c>
    </row>
    <row r="27" spans="1:6">
      <c r="A27" t="s">
        <v>262</v>
      </c>
      <c r="B27" t="s">
        <v>263</v>
      </c>
    </row>
    <row r="28" spans="1:6">
      <c r="A28" t="s">
        <v>197</v>
      </c>
      <c r="B28">
        <v>2023</v>
      </c>
    </row>
    <row r="29" spans="1:6">
      <c r="A29" t="s">
        <v>284</v>
      </c>
      <c r="B29" s="30">
        <f>2781*B30</f>
        <v>15295500</v>
      </c>
      <c r="C29" t="s">
        <v>285</v>
      </c>
      <c r="D29" s="30">
        <f>B29*1.08</f>
        <v>16519140.000000002</v>
      </c>
      <c r="E29" t="s">
        <v>266</v>
      </c>
    </row>
    <row r="30" spans="1:6">
      <c r="A30" t="s">
        <v>286</v>
      </c>
      <c r="B30" s="30">
        <v>5500</v>
      </c>
      <c r="C30" t="s">
        <v>267</v>
      </c>
      <c r="D30" s="30">
        <f>B30*10.764</f>
        <v>59202</v>
      </c>
      <c r="E30" t="s">
        <v>99</v>
      </c>
    </row>
    <row r="31" spans="1:6">
      <c r="A31" t="s">
        <v>268</v>
      </c>
      <c r="D31" s="30">
        <f>D29/D30</f>
        <v>279.03010033444821</v>
      </c>
      <c r="E31" t="s">
        <v>269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5871F-E93A-462E-8897-BE5ABC5EC939}">
  <dimension ref="B2:BK67"/>
  <sheetViews>
    <sheetView topLeftCell="A16" workbookViewId="0">
      <selection activeCell="L69" sqref="L69"/>
    </sheetView>
  </sheetViews>
  <sheetFormatPr baseColWidth="10" defaultColWidth="8.83203125" defaultRowHeight="15"/>
  <cols>
    <col min="2" max="2" width="10.1640625" bestFit="1" customWidth="1"/>
    <col min="3" max="3" width="15" bestFit="1" customWidth="1"/>
    <col min="4" max="9" width="14.5" bestFit="1" customWidth="1"/>
    <col min="10" max="41" width="15.5" bestFit="1" customWidth="1"/>
    <col min="42" max="63" width="15.33203125" bestFit="1" customWidth="1"/>
  </cols>
  <sheetData>
    <row r="2" spans="2:63">
      <c r="B2" s="5" t="s">
        <v>21</v>
      </c>
    </row>
    <row r="4" spans="2:63">
      <c r="B4" t="s">
        <v>287</v>
      </c>
      <c r="C4">
        <v>0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  <c r="N4">
        <v>11</v>
      </c>
      <c r="O4">
        <v>12</v>
      </c>
      <c r="P4">
        <v>13</v>
      </c>
      <c r="Q4">
        <v>14</v>
      </c>
      <c r="R4">
        <v>15</v>
      </c>
      <c r="S4">
        <v>16</v>
      </c>
      <c r="T4">
        <v>17</v>
      </c>
      <c r="U4">
        <v>18</v>
      </c>
      <c r="V4">
        <v>19</v>
      </c>
      <c r="W4">
        <v>20</v>
      </c>
      <c r="X4">
        <v>21</v>
      </c>
      <c r="Y4">
        <v>22</v>
      </c>
      <c r="Z4">
        <v>23</v>
      </c>
      <c r="AA4">
        <v>24</v>
      </c>
      <c r="AB4">
        <v>25</v>
      </c>
      <c r="AC4">
        <v>26</v>
      </c>
      <c r="AD4">
        <v>27</v>
      </c>
      <c r="AE4">
        <v>28</v>
      </c>
      <c r="AF4">
        <v>29</v>
      </c>
      <c r="AG4">
        <v>30</v>
      </c>
      <c r="AH4">
        <v>31</v>
      </c>
      <c r="AI4">
        <v>32</v>
      </c>
      <c r="AJ4">
        <v>33</v>
      </c>
      <c r="AK4">
        <v>34</v>
      </c>
      <c r="AL4">
        <v>35</v>
      </c>
      <c r="AM4">
        <v>36</v>
      </c>
      <c r="AN4">
        <v>37</v>
      </c>
      <c r="AO4">
        <v>38</v>
      </c>
    </row>
    <row r="5" spans="2:63">
      <c r="B5" t="s">
        <v>69</v>
      </c>
      <c r="C5">
        <f ca="1">'Cash Flow - Modular'!C34</f>
        <v>-5530078.7713232376</v>
      </c>
      <c r="D5">
        <f ca="1">'Cash Flow - Modular'!D34</f>
        <v>-246875</v>
      </c>
      <c r="E5">
        <f ca="1">'Cash Flow - Modular'!E34</f>
        <v>-246875</v>
      </c>
      <c r="F5">
        <f ca="1">'Cash Flow - Modular'!F34</f>
        <v>-246875</v>
      </c>
      <c r="G5">
        <f ca="1">'Cash Flow - Modular'!G34</f>
        <v>-1746875</v>
      </c>
      <c r="H5">
        <f ca="1">'Cash Flow - Modular'!H34</f>
        <v>-6246875</v>
      </c>
      <c r="I5">
        <f ca="1">'Cash Flow - Modular'!I34</f>
        <v>-4446875</v>
      </c>
      <c r="J5">
        <f ca="1">'Cash Flow - Modular'!J34</f>
        <v>-4475586.0892201699</v>
      </c>
      <c r="K5">
        <f ca="1">'Cash Flow - Modular'!K34</f>
        <v>-4505623.5797664225</v>
      </c>
      <c r="L5">
        <f ca="1">'Cash Flow - Modular'!L34</f>
        <v>-4535862.6642088555</v>
      </c>
      <c r="M5">
        <f ca="1">'Cash Flow - Modular'!M34</f>
        <v>-4566304.695526639</v>
      </c>
      <c r="N5">
        <f ca="1">'Cash Flow - Modular'!N34</f>
        <v>-1878830.230410211</v>
      </c>
      <c r="O5">
        <f ca="1">'Cash Flow - Modular'!O34</f>
        <v>-1891439.8292861877</v>
      </c>
      <c r="P5">
        <f ca="1">'Cash Flow - Modular'!P34</f>
        <v>-1904134.0563424379</v>
      </c>
      <c r="Q5">
        <f ca="1">'Cash Flow - Modular'!Q34</f>
        <v>-1916913.4795533258</v>
      </c>
      <c r="R5">
        <f ca="1">'Cash Flow - Modular'!R34</f>
        <v>-1929778.6707051243</v>
      </c>
      <c r="S5">
        <f ca="1">'Cash Flow - Modular'!S34</f>
        <v>-166166.23610232654</v>
      </c>
      <c r="T5">
        <f ca="1">'Cash Flow - Modular'!T34</f>
        <v>-149316.46972356926</v>
      </c>
      <c r="U5">
        <f ca="1">'Cash Flow - Modular'!U34</f>
        <v>-132353.61766431585</v>
      </c>
      <c r="V5">
        <f ca="1">'Cash Flow - Modular'!V34</f>
        <v>-115276.92096026782</v>
      </c>
      <c r="W5">
        <f ca="1">'Cash Flow - Modular'!W34</f>
        <v>-98085.615553406533</v>
      </c>
      <c r="X5">
        <f ca="1">'Cash Flow - Modular'!X34</f>
        <v>-80778.932257807217</v>
      </c>
      <c r="Y5">
        <f ca="1">'Cash Flow - Modular'!Y34</f>
        <v>-63356.096725223426</v>
      </c>
      <c r="Z5">
        <f ca="1">'Cash Flow - Modular'!Z34</f>
        <v>-45816.329410440667</v>
      </c>
      <c r="AA5">
        <f ca="1">'Cash Flow - Modular'!AA34</f>
        <v>-28158.845536397304</v>
      </c>
      <c r="AB5">
        <f ca="1">'Cash Flow - Modular'!AB34</f>
        <v>-5517.3709478702804</v>
      </c>
      <c r="AC5">
        <f ca="1">'Cash Flow - Modular'!AC34</f>
        <v>0</v>
      </c>
      <c r="AD5">
        <f>'Cash Flow - Modular'!AD34</f>
        <v>0</v>
      </c>
      <c r="AE5">
        <f>'Cash Flow - Modular'!AE34</f>
        <v>0</v>
      </c>
      <c r="AF5">
        <f>'Cash Flow - Modular'!AF34</f>
        <v>0</v>
      </c>
      <c r="AG5">
        <f>'Cash Flow - Modular'!AG34</f>
        <v>0</v>
      </c>
      <c r="AH5">
        <f>'Cash Flow - Modular'!AH34</f>
        <v>0</v>
      </c>
      <c r="AI5">
        <f>'Cash Flow - Modular'!AI34</f>
        <v>0</v>
      </c>
      <c r="AJ5">
        <f>'Cash Flow - Modular'!AJ34</f>
        <v>0</v>
      </c>
      <c r="AK5">
        <f>'Cash Flow - Modular'!AK34</f>
        <v>0</v>
      </c>
      <c r="AL5">
        <f>'Cash Flow - Modular'!AL34</f>
        <v>0</v>
      </c>
      <c r="AM5">
        <f>'Cash Flow - Modular'!AM34</f>
        <v>0</v>
      </c>
      <c r="AN5">
        <f>'Cash Flow - Modular'!AN34</f>
        <v>0</v>
      </c>
      <c r="AO5">
        <f>'Cash Flow - Modular'!AO34</f>
        <v>0</v>
      </c>
    </row>
    <row r="6" spans="2:63">
      <c r="B6" t="s">
        <v>288</v>
      </c>
      <c r="C6">
        <f ca="1">'Cash Flow - Traditional'!C34</f>
        <v>-5433879.4973881869</v>
      </c>
      <c r="D6">
        <f ca="1">'Cash Flow - Traditional'!D34</f>
        <v>-148888.88888888888</v>
      </c>
      <c r="E6">
        <f ca="1">'Cash Flow - Traditional'!E34</f>
        <v>-148888.88888888888</v>
      </c>
      <c r="F6">
        <f ca="1">'Cash Flow - Traditional'!F34</f>
        <v>-148888.88888888888</v>
      </c>
      <c r="G6">
        <f ca="1">'Cash Flow - Traditional'!G34</f>
        <v>-148888.88888888888</v>
      </c>
      <c r="H6">
        <f ca="1">'Cash Flow - Traditional'!H34</f>
        <v>-148888.88888888888</v>
      </c>
      <c r="I6">
        <f ca="1">'Cash Flow - Traditional'!I34</f>
        <v>-148888.88888888888</v>
      </c>
      <c r="J6">
        <f ca="1">'Cash Flow - Traditional'!J34</f>
        <v>-1948888.888888889</v>
      </c>
      <c r="K6">
        <f ca="1">'Cash Flow - Traditional'!K34</f>
        <v>-1948888.888888889</v>
      </c>
      <c r="L6">
        <f ca="1">'Cash Flow - Traditional'!L34</f>
        <v>-1948888.888888889</v>
      </c>
      <c r="M6">
        <f ca="1">'Cash Flow - Traditional'!M34</f>
        <v>-1948888.888888889</v>
      </c>
      <c r="N6">
        <f ca="1">'Cash Flow - Traditional'!N34</f>
        <v>-1948888.888888889</v>
      </c>
      <c r="O6">
        <f ca="1">'Cash Flow - Traditional'!O34</f>
        <v>-1948888.888888889</v>
      </c>
      <c r="P6">
        <f ca="1">'Cash Flow - Traditional'!P34</f>
        <v>-1955399.1961417343</v>
      </c>
      <c r="Q6">
        <f ca="1">'Cash Flow - Traditional'!Q34</f>
        <v>-1968522.6895514382</v>
      </c>
      <c r="R6">
        <f ca="1">'Cash Flow - Traditional'!R34</f>
        <v>-1981734.2599597343</v>
      </c>
      <c r="S6">
        <f ca="1">'Cash Flow - Traditional'!S34</f>
        <v>-1995034.4984885072</v>
      </c>
      <c r="T6">
        <f ca="1">'Cash Flow - Traditional'!T34</f>
        <v>-2008424.0002269</v>
      </c>
      <c r="U6">
        <f ca="1">'Cash Flow - Traditional'!U34</f>
        <v>-2021903.3642579389</v>
      </c>
      <c r="V6">
        <f ca="1">'Cash Flow - Traditional'!V34</f>
        <v>-2035473.1936853384</v>
      </c>
      <c r="W6">
        <f ca="1">'Cash Flow - Traditional'!W34</f>
        <v>-2049134.0956604853</v>
      </c>
      <c r="X6">
        <f ca="1">'Cash Flow - Traditional'!X34</f>
        <v>-2062886.6814096055</v>
      </c>
      <c r="Y6">
        <f ca="1">'Cash Flow - Traditional'!Y34</f>
        <v>-2076731.5662611104</v>
      </c>
      <c r="Z6">
        <f ca="1">'Cash Flow - Traditional'!Z34</f>
        <v>-2090669.3696731294</v>
      </c>
      <c r="AA6">
        <f ca="1">'Cash Flow - Traditional'!AA34</f>
        <v>-2104700.7152612251</v>
      </c>
      <c r="AB6">
        <f ca="1">'Cash Flow - Traditional'!AB34</f>
        <v>-2118826.2308262973</v>
      </c>
      <c r="AC6">
        <f ca="1">'Cash Flow - Traditional'!AC34</f>
        <v>-2133046.5483826702</v>
      </c>
      <c r="AD6">
        <f ca="1">'Cash Flow - Traditional'!AD34</f>
        <v>-166942.1006429077</v>
      </c>
      <c r="AE6">
        <f ca="1">'Cash Flow - Traditional'!AE34</f>
        <v>-149611.00100412284</v>
      </c>
      <c r="AF6">
        <f ca="1">'Cash Flow - Traditional'!AF34</f>
        <v>-132163.58513694355</v>
      </c>
      <c r="AG6">
        <f ca="1">'Cash Flow - Traditional'!AG34</f>
        <v>-114599.07239658479</v>
      </c>
      <c r="AH6">
        <f ca="1">'Cash Flow - Traditional'!AH34</f>
        <v>-96916.676899031736</v>
      </c>
      <c r="AI6">
        <f ca="1">'Cash Flow - Traditional'!AI34</f>
        <v>-79115.607485876608</v>
      </c>
      <c r="AJ6">
        <f ca="1">'Cash Flow - Traditional'!AJ34</f>
        <v>-61195.067688920448</v>
      </c>
      <c r="AK6">
        <f ca="1">'Cash Flow - Traditional'!AK34</f>
        <v>-43154.255694536871</v>
      </c>
      <c r="AL6">
        <f ca="1">'Cash Flow - Traditional'!AL34</f>
        <v>-24992.364307796524</v>
      </c>
      <c r="AM6">
        <f ca="1">'Cash Flow - Traditional'!AM34</f>
        <v>-6708.5809163513186</v>
      </c>
      <c r="AN6">
        <f ca="1">'Cash Flow - Traditional'!AN34</f>
        <v>0</v>
      </c>
      <c r="AO6">
        <f>'Cash Flow - Traditional'!AO34</f>
        <v>0</v>
      </c>
    </row>
    <row r="8" spans="2:63">
      <c r="B8" t="s">
        <v>289</v>
      </c>
    </row>
    <row r="9" spans="2:63">
      <c r="B9" t="s">
        <v>287</v>
      </c>
      <c r="C9">
        <v>0</v>
      </c>
      <c r="D9">
        <v>1</v>
      </c>
      <c r="E9">
        <v>2</v>
      </c>
      <c r="F9">
        <v>3</v>
      </c>
      <c r="G9">
        <v>4</v>
      </c>
      <c r="H9">
        <v>5</v>
      </c>
      <c r="I9">
        <v>6</v>
      </c>
      <c r="J9">
        <v>7</v>
      </c>
      <c r="K9">
        <v>8</v>
      </c>
      <c r="L9">
        <v>9</v>
      </c>
      <c r="M9">
        <v>10</v>
      </c>
      <c r="N9">
        <v>11</v>
      </c>
      <c r="O9">
        <v>12</v>
      </c>
      <c r="P9">
        <v>13</v>
      </c>
      <c r="Q9">
        <v>14</v>
      </c>
      <c r="R9">
        <v>15</v>
      </c>
      <c r="S9">
        <v>16</v>
      </c>
      <c r="T9">
        <v>17</v>
      </c>
      <c r="U9">
        <v>18</v>
      </c>
      <c r="V9">
        <v>19</v>
      </c>
      <c r="W9">
        <v>20</v>
      </c>
      <c r="X9">
        <v>21</v>
      </c>
      <c r="Y9">
        <v>22</v>
      </c>
      <c r="Z9">
        <v>23</v>
      </c>
      <c r="AA9">
        <v>24</v>
      </c>
      <c r="AB9">
        <v>25</v>
      </c>
      <c r="AC9">
        <v>26</v>
      </c>
      <c r="AD9">
        <v>27</v>
      </c>
      <c r="AE9">
        <v>28</v>
      </c>
      <c r="AF9">
        <v>29</v>
      </c>
      <c r="AG9">
        <v>30</v>
      </c>
      <c r="AH9">
        <v>31</v>
      </c>
      <c r="AI9">
        <v>32</v>
      </c>
      <c r="AJ9">
        <v>33</v>
      </c>
      <c r="AK9">
        <v>34</v>
      </c>
      <c r="AL9">
        <v>35</v>
      </c>
      <c r="AM9">
        <v>36</v>
      </c>
      <c r="AN9">
        <v>37</v>
      </c>
      <c r="AO9">
        <v>38</v>
      </c>
    </row>
    <row r="10" spans="2:63">
      <c r="B10" t="s">
        <v>69</v>
      </c>
      <c r="C10" s="308">
        <f ca="1">-SUM($C$5:C5)</f>
        <v>5530078.7713232376</v>
      </c>
      <c r="D10" s="308">
        <f ca="1">-SUM($C$5:D5)</f>
        <v>5776953.7713232376</v>
      </c>
      <c r="E10" s="308">
        <f ca="1">-SUM($C$5:E5)</f>
        <v>6023828.7713232376</v>
      </c>
      <c r="F10" s="308">
        <f ca="1">-SUM($C$5:F5)</f>
        <v>6270703.7713232376</v>
      </c>
      <c r="G10" s="308">
        <f ca="1">-SUM($C$5:G5)</f>
        <v>8017578.7713232376</v>
      </c>
      <c r="H10" s="308">
        <f ca="1">-SUM($C$5:H5)</f>
        <v>14264453.771323238</v>
      </c>
      <c r="I10" s="308">
        <f ca="1">-SUM($C$5:I5)</f>
        <v>18711328.771323238</v>
      </c>
      <c r="J10" s="308">
        <f ca="1">-SUM($C$5:J5)</f>
        <v>23186914.860543407</v>
      </c>
      <c r="K10" s="308">
        <f ca="1">-SUM($C$5:K5)</f>
        <v>27692538.44030983</v>
      </c>
      <c r="L10" s="308">
        <f ca="1">-SUM($C$5:L5)</f>
        <v>32228401.104518685</v>
      </c>
      <c r="M10" s="308">
        <f ca="1">-SUM($C$5:M5)</f>
        <v>36794705.800045326</v>
      </c>
      <c r="N10" s="308">
        <f ca="1">-SUM($C$5:N5)</f>
        <v>38673536.030455537</v>
      </c>
      <c r="O10" s="308">
        <f ca="1">-SUM($C$5:O5)</f>
        <v>40564975.859741725</v>
      </c>
      <c r="P10" s="308">
        <f ca="1">-SUM($C$5:P5)</f>
        <v>42469109.916084163</v>
      </c>
      <c r="Q10" s="308">
        <f ca="1">-SUM($C$5:Q5)</f>
        <v>44386023.39563749</v>
      </c>
      <c r="R10" s="308">
        <f ca="1">-SUM($C$5:R5)</f>
        <v>46315802.066342615</v>
      </c>
      <c r="S10" s="308">
        <f ca="1">-SUM($C$5:S5)</f>
        <v>46481968.302444942</v>
      </c>
      <c r="T10" s="308">
        <f ca="1">-SUM($C$5:T5)</f>
        <v>46631284.77216851</v>
      </c>
      <c r="U10" s="308">
        <f ca="1">-SUM($C$5:U5)</f>
        <v>46763638.389832824</v>
      </c>
      <c r="V10" s="308">
        <f ca="1">-SUM($C$5:V5)</f>
        <v>46878915.310793094</v>
      </c>
      <c r="W10" s="308">
        <f ca="1">-SUM($C$5:W5)</f>
        <v>46977000.926346503</v>
      </c>
      <c r="X10" s="308">
        <f ca="1">-SUM($C$5:X5)</f>
        <v>47057779.858604312</v>
      </c>
      <c r="Y10" s="308">
        <f ca="1">-SUM($C$5:Y5)</f>
        <v>47121135.955329537</v>
      </c>
      <c r="Z10" s="308">
        <f ca="1">-SUM($C$5:Z5)</f>
        <v>47166952.284739979</v>
      </c>
      <c r="AA10" s="308">
        <f ca="1">-SUM($C$5:AA5)</f>
        <v>47195111.130276375</v>
      </c>
      <c r="AB10" s="308">
        <f ca="1">-SUM($C$5:AB5)</f>
        <v>47200628.501224242</v>
      </c>
      <c r="AC10" s="308">
        <f ca="1">-SUM($C$5:AC5)</f>
        <v>47200628.501224242</v>
      </c>
      <c r="AD10" s="308">
        <f ca="1">-SUM($C$5:AD5)</f>
        <v>47200628.501224242</v>
      </c>
      <c r="AE10" s="308">
        <f ca="1">-SUM($C$5:AE5)</f>
        <v>47200628.501224242</v>
      </c>
      <c r="AF10" s="308">
        <f ca="1">-SUM($C$5:AF5)</f>
        <v>47200628.501224242</v>
      </c>
      <c r="AG10" s="308">
        <f ca="1">-SUM($C$5:AG5)</f>
        <v>47200628.501224242</v>
      </c>
      <c r="AH10" s="308">
        <f ca="1">-SUM($C$5:AH5)</f>
        <v>47200628.501224242</v>
      </c>
      <c r="AI10" s="308">
        <f ca="1">-SUM($C$5:AI5)</f>
        <v>47200628.501224242</v>
      </c>
      <c r="AJ10" s="308">
        <f ca="1">-SUM($C$5:AJ5)</f>
        <v>47200628.501224242</v>
      </c>
      <c r="AK10" s="308">
        <f ca="1">-SUM($C$5:AK5)</f>
        <v>47200628.501224242</v>
      </c>
      <c r="AL10" s="308">
        <f ca="1">-SUM($C$5:AL5)</f>
        <v>47200628.501224242</v>
      </c>
      <c r="AM10" s="308">
        <f ca="1">-SUM($C$5:AM5)</f>
        <v>47200628.501224242</v>
      </c>
      <c r="AN10" s="308">
        <f ca="1">-SUM($C$5:AN5)</f>
        <v>47200628.501224242</v>
      </c>
      <c r="AO10" s="308">
        <f ca="1">-SUM($C$5:AO5)</f>
        <v>47200628.501224242</v>
      </c>
      <c r="AP10" s="308"/>
      <c r="AQ10" s="308"/>
      <c r="AR10" s="308"/>
      <c r="AS10" s="308"/>
      <c r="AT10" s="308"/>
      <c r="AU10" s="308"/>
      <c r="AV10" s="308"/>
      <c r="AW10" s="308"/>
      <c r="AX10" s="308"/>
      <c r="AY10" s="308"/>
      <c r="AZ10" s="308"/>
      <c r="BA10" s="308"/>
      <c r="BB10" s="308"/>
      <c r="BC10" s="308"/>
      <c r="BD10" s="308"/>
      <c r="BE10" s="308"/>
      <c r="BF10" s="308"/>
      <c r="BG10" s="308"/>
      <c r="BH10" s="308"/>
      <c r="BI10" s="308"/>
      <c r="BJ10" s="308"/>
      <c r="BK10" s="308"/>
    </row>
    <row r="11" spans="2:63">
      <c r="B11" t="s">
        <v>288</v>
      </c>
      <c r="C11" s="308">
        <f ca="1">-SUM($C$6:C6)</f>
        <v>5433879.4973881869</v>
      </c>
      <c r="D11" s="308">
        <f ca="1">-SUM($C$6:D6)</f>
        <v>5582768.3862770759</v>
      </c>
      <c r="E11" s="308">
        <f ca="1">-SUM($C$6:E6)</f>
        <v>5731657.2751659648</v>
      </c>
      <c r="F11" s="308">
        <f ca="1">-SUM($C$6:F6)</f>
        <v>5880546.1640548538</v>
      </c>
      <c r="G11" s="308">
        <f ca="1">-SUM($C$6:G6)</f>
        <v>6029435.0529437428</v>
      </c>
      <c r="H11" s="308">
        <f ca="1">-SUM($C$6:H6)</f>
        <v>6178323.9418326318</v>
      </c>
      <c r="I11" s="308">
        <f ca="1">-SUM($C$6:I6)</f>
        <v>6327212.8307215208</v>
      </c>
      <c r="J11" s="308">
        <f ca="1">-SUM($C$6:J6)</f>
        <v>8276101.7196104098</v>
      </c>
      <c r="K11" s="308">
        <f ca="1">-SUM($C$6:K6)</f>
        <v>10224990.6084993</v>
      </c>
      <c r="L11" s="308">
        <f ca="1">-SUM($C$6:L6)</f>
        <v>12173879.497388188</v>
      </c>
      <c r="M11" s="308">
        <f ca="1">-SUM($C$6:M6)</f>
        <v>14122768.386277076</v>
      </c>
      <c r="N11" s="308">
        <f ca="1">-SUM($C$6:N6)</f>
        <v>16071657.275165964</v>
      </c>
      <c r="O11" s="308">
        <f ca="1">-SUM($C$6:O6)</f>
        <v>18020546.164054852</v>
      </c>
      <c r="P11" s="308">
        <f ca="1">-SUM($C$6:P6)</f>
        <v>19975945.360196587</v>
      </c>
      <c r="Q11" s="308">
        <f ca="1">-SUM($C$6:Q6)</f>
        <v>21944468.049748026</v>
      </c>
      <c r="R11" s="308">
        <f ca="1">-SUM($C$6:R6)</f>
        <v>23926202.309707761</v>
      </c>
      <c r="S11" s="308">
        <f ca="1">-SUM($C$6:S6)</f>
        <v>25921236.808196269</v>
      </c>
      <c r="T11" s="308">
        <f ca="1">-SUM($C$6:T6)</f>
        <v>27929660.808423169</v>
      </c>
      <c r="U11" s="308">
        <f ca="1">-SUM($C$6:U6)</f>
        <v>29951564.172681108</v>
      </c>
      <c r="V11" s="308">
        <f ca="1">-SUM($C$6:V6)</f>
        <v>31987037.366366446</v>
      </c>
      <c r="W11" s="308">
        <f ca="1">-SUM($C$6:W6)</f>
        <v>34036171.462026931</v>
      </c>
      <c r="X11" s="308">
        <f ca="1">-SUM($C$6:X6)</f>
        <v>36099058.143436536</v>
      </c>
      <c r="Y11" s="308">
        <f ca="1">-SUM($C$6:Y6)</f>
        <v>38175789.709697649</v>
      </c>
      <c r="Z11" s="308">
        <f ca="1">-SUM($C$6:Z6)</f>
        <v>40266459.079370782</v>
      </c>
      <c r="AA11" s="308">
        <f ca="1">-SUM($C$6:AA6)</f>
        <v>42371159.79463201</v>
      </c>
      <c r="AB11" s="308">
        <f ca="1">-SUM($C$6:AB6)</f>
        <v>44489986.025458306</v>
      </c>
      <c r="AC11" s="308">
        <f ca="1">-SUM($C$6:AC6)</f>
        <v>46623032.573840976</v>
      </c>
      <c r="AD11" s="308">
        <f ca="1">-SUM($C$6:AD6)</f>
        <v>46789974.67448388</v>
      </c>
      <c r="AE11" s="308">
        <f ca="1">-SUM($C$6:AE6)</f>
        <v>46939585.675488003</v>
      </c>
      <c r="AF11" s="308">
        <f ca="1">-SUM($C$6:AF6)</f>
        <v>47071749.260624945</v>
      </c>
      <c r="AG11" s="308">
        <f ca="1">-SUM($C$6:AG6)</f>
        <v>47186348.333021529</v>
      </c>
      <c r="AH11" s="308">
        <f ca="1">-SUM($C$6:AH6)</f>
        <v>47283265.00992056</v>
      </c>
      <c r="AI11" s="308">
        <f ca="1">-SUM($C$6:AI6)</f>
        <v>47362380.617406435</v>
      </c>
      <c r="AJ11" s="308">
        <f ca="1">-SUM($C$6:AJ6)</f>
        <v>47423575.685095355</v>
      </c>
      <c r="AK11" s="308">
        <f ca="1">-SUM($C$6:AK6)</f>
        <v>47466729.940789893</v>
      </c>
      <c r="AL11" s="308">
        <f ca="1">-SUM($C$6:AL6)</f>
        <v>47491722.305097692</v>
      </c>
      <c r="AM11" s="308">
        <f ca="1">-SUM($C$6:AM6)</f>
        <v>47498430.886014044</v>
      </c>
      <c r="AN11" s="308">
        <f ca="1">-SUM($C$6:AN6)</f>
        <v>47498430.886014044</v>
      </c>
      <c r="AO11" s="308">
        <f ca="1">-SUM($C$6:AO6)</f>
        <v>47498430.886014044</v>
      </c>
      <c r="AP11" s="308"/>
      <c r="AQ11" s="308"/>
      <c r="AR11" s="308"/>
      <c r="AS11" s="308"/>
      <c r="AT11" s="308"/>
      <c r="AU11" s="308"/>
      <c r="AV11" s="308"/>
      <c r="AW11" s="308"/>
      <c r="AX11" s="308"/>
      <c r="AY11" s="308"/>
      <c r="AZ11" s="308"/>
      <c r="BA11" s="308"/>
      <c r="BB11" s="308"/>
      <c r="BC11" s="308"/>
      <c r="BD11" s="308"/>
      <c r="BE11" s="308"/>
      <c r="BF11" s="308"/>
      <c r="BG11" s="308"/>
      <c r="BH11" s="308"/>
      <c r="BI11" s="308"/>
      <c r="BJ11" s="308"/>
      <c r="BK11" s="308"/>
    </row>
    <row r="32" spans="2:2">
      <c r="B32" s="5" t="s">
        <v>290</v>
      </c>
    </row>
    <row r="34" spans="2:63">
      <c r="B34" t="s">
        <v>287</v>
      </c>
      <c r="C34">
        <v>0</v>
      </c>
      <c r="D34">
        <v>1</v>
      </c>
      <c r="E34">
        <v>2</v>
      </c>
      <c r="F34">
        <v>3</v>
      </c>
      <c r="G34">
        <v>4</v>
      </c>
      <c r="H34">
        <v>5</v>
      </c>
      <c r="I34">
        <v>6</v>
      </c>
      <c r="J34">
        <v>7</v>
      </c>
      <c r="K34">
        <v>8</v>
      </c>
      <c r="L34">
        <v>9</v>
      </c>
      <c r="M34">
        <v>10</v>
      </c>
      <c r="N34">
        <v>11</v>
      </c>
      <c r="O34">
        <v>12</v>
      </c>
      <c r="P34">
        <v>13</v>
      </c>
      <c r="Q34">
        <v>14</v>
      </c>
      <c r="R34">
        <v>15</v>
      </c>
      <c r="S34">
        <v>16</v>
      </c>
      <c r="T34">
        <v>17</v>
      </c>
      <c r="U34">
        <v>18</v>
      </c>
      <c r="V34">
        <v>19</v>
      </c>
      <c r="W34">
        <v>20</v>
      </c>
      <c r="X34">
        <v>21</v>
      </c>
      <c r="Y34">
        <v>22</v>
      </c>
      <c r="Z34">
        <v>23</v>
      </c>
      <c r="AA34">
        <v>24</v>
      </c>
      <c r="AB34">
        <v>25</v>
      </c>
      <c r="AC34">
        <v>26</v>
      </c>
      <c r="AD34">
        <v>27</v>
      </c>
      <c r="AE34">
        <v>28</v>
      </c>
      <c r="AF34">
        <v>29</v>
      </c>
      <c r="AG34">
        <v>30</v>
      </c>
      <c r="AH34">
        <v>31</v>
      </c>
      <c r="AI34">
        <v>32</v>
      </c>
      <c r="AJ34">
        <v>33</v>
      </c>
      <c r="AK34">
        <v>34</v>
      </c>
      <c r="AL34">
        <v>35</v>
      </c>
      <c r="AM34">
        <v>36</v>
      </c>
      <c r="AN34">
        <v>37</v>
      </c>
      <c r="AO34">
        <v>38</v>
      </c>
      <c r="AP34">
        <v>39</v>
      </c>
      <c r="AQ34">
        <v>40</v>
      </c>
      <c r="AR34">
        <v>41</v>
      </c>
      <c r="AS34">
        <v>42</v>
      </c>
      <c r="AT34">
        <v>43</v>
      </c>
      <c r="AU34">
        <v>44</v>
      </c>
      <c r="AV34">
        <v>45</v>
      </c>
      <c r="AW34">
        <v>46</v>
      </c>
      <c r="AX34">
        <v>47</v>
      </c>
      <c r="AY34">
        <v>48</v>
      </c>
      <c r="AZ34">
        <v>49</v>
      </c>
      <c r="BA34">
        <v>50</v>
      </c>
      <c r="BB34">
        <v>51</v>
      </c>
      <c r="BC34">
        <v>52</v>
      </c>
      <c r="BD34">
        <v>53</v>
      </c>
      <c r="BE34">
        <v>54</v>
      </c>
      <c r="BF34">
        <v>55</v>
      </c>
      <c r="BG34">
        <v>56</v>
      </c>
      <c r="BH34">
        <v>57</v>
      </c>
      <c r="BI34">
        <v>58</v>
      </c>
      <c r="BJ34">
        <v>59</v>
      </c>
    </row>
    <row r="35" spans="2:63">
      <c r="B35" t="s">
        <v>69</v>
      </c>
      <c r="C35" s="331">
        <f ca="1">'Cash Flow - Modular'!C89</f>
        <v>-5246875</v>
      </c>
      <c r="D35" s="331">
        <f ca="1">'Cash Flow - Modular'!D89</f>
        <v>-246875</v>
      </c>
      <c r="E35" s="331">
        <f ca="1">'Cash Flow - Modular'!E89</f>
        <v>-246875</v>
      </c>
      <c r="F35" s="331">
        <f ca="1">'Cash Flow - Modular'!F89</f>
        <v>-246875</v>
      </c>
      <c r="G35" s="331">
        <f ca="1">'Cash Flow - Modular'!G89</f>
        <v>-1746875</v>
      </c>
      <c r="H35" s="331">
        <f ca="1">'Cash Flow - Modular'!H89</f>
        <v>-6246875</v>
      </c>
      <c r="I35" s="331">
        <f ca="1">'Cash Flow - Modular'!I89</f>
        <v>-4446875</v>
      </c>
      <c r="J35" s="331">
        <f ca="1">'Cash Flow - Modular'!J89</f>
        <v>-4446875</v>
      </c>
      <c r="K35" s="331">
        <f ca="1">'Cash Flow - Modular'!K89</f>
        <v>-4446875</v>
      </c>
      <c r="L35" s="331">
        <f ca="1">'Cash Flow - Modular'!L89</f>
        <v>-4446875</v>
      </c>
      <c r="M35" s="331">
        <f ca="1">'Cash Flow - Modular'!M89</f>
        <v>-4446875</v>
      </c>
      <c r="N35" s="331">
        <f ca="1">'Cash Flow - Modular'!N89</f>
        <v>-1746875</v>
      </c>
      <c r="O35" s="331">
        <f ca="1">'Cash Flow - Modular'!O89</f>
        <v>-1746875</v>
      </c>
      <c r="P35" s="331">
        <f ca="1">'Cash Flow - Modular'!P89</f>
        <v>-1746875</v>
      </c>
      <c r="Q35" s="331">
        <f ca="1">'Cash Flow - Modular'!Q89</f>
        <v>-1746875</v>
      </c>
      <c r="R35" s="331">
        <f ca="1">'Cash Flow - Modular'!R89</f>
        <v>-1746875</v>
      </c>
      <c r="S35" s="331">
        <f ca="1">'Cash Flow - Modular'!S89</f>
        <v>17845.209523809521</v>
      </c>
      <c r="T35" s="331">
        <f ca="1">'Cash Flow - Modular'!T89</f>
        <v>35690.419047619042</v>
      </c>
      <c r="U35" s="331">
        <f ca="1">'Cash Flow - Modular'!U89</f>
        <v>53535.628571428562</v>
      </c>
      <c r="V35" s="331">
        <f ca="1">'Cash Flow - Modular'!V89</f>
        <v>71380.838095238068</v>
      </c>
      <c r="W35" s="331">
        <f ca="1">'Cash Flow - Modular'!W89</f>
        <v>89226.047619047604</v>
      </c>
      <c r="X35" s="331">
        <f ca="1">'Cash Flow - Modular'!X89</f>
        <v>107071.25714285711</v>
      </c>
      <c r="Y35" s="331">
        <f ca="1">'Cash Flow - Modular'!Y89</f>
        <v>124916.46666666663</v>
      </c>
      <c r="Z35" s="331">
        <f ca="1">'Cash Flow - Modular'!Z89</f>
        <v>142761.67619047614</v>
      </c>
      <c r="AA35" s="331">
        <f ca="1">'Cash Flow - Modular'!AA89</f>
        <v>160606.88571428566</v>
      </c>
      <c r="AB35" s="331">
        <f ca="1">'Cash Flow - Modular'!AB89</f>
        <v>183285.13297619042</v>
      </c>
      <c r="AC35" s="331">
        <f ca="1">'Cash Flow - Modular'!AC89</f>
        <v>201613.64627380949</v>
      </c>
      <c r="AD35" s="331">
        <f>'Cash Flow - Modular'!AD89</f>
        <v>52808465.225664549</v>
      </c>
      <c r="AE35" s="331">
        <f>'Cash Flow - Modular'!AE89</f>
        <v>0</v>
      </c>
      <c r="AF35" s="331">
        <f>'Cash Flow - Modular'!AF89</f>
        <v>0</v>
      </c>
      <c r="AG35" s="331">
        <f>'Cash Flow - Modular'!AG89</f>
        <v>0</v>
      </c>
      <c r="AH35" s="331">
        <f>'Cash Flow - Modular'!AH89</f>
        <v>0</v>
      </c>
      <c r="AI35" s="331">
        <f>'Cash Flow - Modular'!AI89</f>
        <v>0</v>
      </c>
      <c r="AJ35" s="331">
        <f>'Cash Flow - Modular'!AJ89</f>
        <v>0</v>
      </c>
      <c r="AK35" s="331">
        <f>'Cash Flow - Modular'!AK89</f>
        <v>0</v>
      </c>
      <c r="AL35" s="331">
        <f>'Cash Flow - Modular'!AL89</f>
        <v>0</v>
      </c>
      <c r="AM35" s="331">
        <f>'Cash Flow - Modular'!AM89</f>
        <v>0</v>
      </c>
      <c r="AN35" s="331">
        <f>'Cash Flow - Modular'!AN89</f>
        <v>0</v>
      </c>
      <c r="AO35" s="331">
        <f>'Cash Flow - Modular'!AO89</f>
        <v>0</v>
      </c>
      <c r="AP35" s="331">
        <f>'Cash Flow - Modular'!AP89</f>
        <v>0</v>
      </c>
      <c r="AQ35" s="331">
        <f>'Cash Flow - Modular'!AQ89</f>
        <v>0</v>
      </c>
      <c r="AR35" s="331">
        <f>'Cash Flow - Modular'!AR89</f>
        <v>0</v>
      </c>
      <c r="AS35" s="331">
        <f>'Cash Flow - Modular'!AS89</f>
        <v>0</v>
      </c>
      <c r="AT35" s="331">
        <f>'Cash Flow - Modular'!AT89</f>
        <v>0</v>
      </c>
      <c r="AU35" s="331">
        <f>'Cash Flow - Modular'!AU89</f>
        <v>0</v>
      </c>
      <c r="AV35" s="331">
        <f>'Cash Flow - Modular'!AV89</f>
        <v>0</v>
      </c>
      <c r="AW35" s="331">
        <f>'Cash Flow - Modular'!AW89</f>
        <v>0</v>
      </c>
      <c r="AX35" s="331">
        <f>'Cash Flow - Modular'!AX89</f>
        <v>0</v>
      </c>
      <c r="AY35" s="331">
        <f>'Cash Flow - Modular'!AY89</f>
        <v>0</v>
      </c>
      <c r="AZ35" s="331">
        <f>'Cash Flow - Modular'!AZ89</f>
        <v>0</v>
      </c>
      <c r="BA35" s="331">
        <f>'Cash Flow - Modular'!BA89</f>
        <v>0</v>
      </c>
      <c r="BB35" s="331">
        <f>'Cash Flow - Modular'!BB89</f>
        <v>0</v>
      </c>
      <c r="BC35" s="331">
        <f>'Cash Flow - Modular'!BC89</f>
        <v>0</v>
      </c>
      <c r="BD35" s="331">
        <f>'Cash Flow - Modular'!BD89</f>
        <v>0</v>
      </c>
      <c r="BE35" s="331">
        <f>'Cash Flow - Modular'!BE89</f>
        <v>0</v>
      </c>
      <c r="BF35" s="331">
        <f>'Cash Flow - Modular'!BF89</f>
        <v>0</v>
      </c>
      <c r="BG35" s="331">
        <f>'Cash Flow - Modular'!BG89</f>
        <v>0</v>
      </c>
      <c r="BH35" s="331">
        <f>'Cash Flow - Modular'!BH89</f>
        <v>0</v>
      </c>
      <c r="BI35" s="331">
        <f>'Cash Flow - Modular'!BI89</f>
        <v>0</v>
      </c>
      <c r="BJ35" s="331">
        <f>'Cash Flow - Modular'!BJ89</f>
        <v>0</v>
      </c>
      <c r="BK35" s="331"/>
    </row>
    <row r="36" spans="2:63">
      <c r="B36" t="s">
        <v>288</v>
      </c>
      <c r="C36" s="331">
        <f ca="1">'Cash Flow - Traditional'!C89</f>
        <v>-5148888.888888889</v>
      </c>
      <c r="D36" s="331">
        <f ca="1">'Cash Flow - Traditional'!D89</f>
        <v>-148888.88888888888</v>
      </c>
      <c r="E36" s="331">
        <f ca="1">'Cash Flow - Traditional'!E89</f>
        <v>-148888.88888888888</v>
      </c>
      <c r="F36" s="331">
        <f ca="1">'Cash Flow - Traditional'!F89</f>
        <v>-148888.88888888888</v>
      </c>
      <c r="G36" s="331">
        <f ca="1">'Cash Flow - Traditional'!G89</f>
        <v>-148888.88888888888</v>
      </c>
      <c r="H36" s="331">
        <f ca="1">'Cash Flow - Traditional'!H89</f>
        <v>-148888.88888888888</v>
      </c>
      <c r="I36" s="331">
        <f ca="1">'Cash Flow - Traditional'!I89</f>
        <v>-148888.88888888888</v>
      </c>
      <c r="J36" s="331">
        <f ca="1">'Cash Flow - Traditional'!J89</f>
        <v>-1948888.888888889</v>
      </c>
      <c r="K36" s="331">
        <f ca="1">'Cash Flow - Traditional'!K89</f>
        <v>-1948888.888888889</v>
      </c>
      <c r="L36" s="331">
        <f ca="1">'Cash Flow - Traditional'!L89</f>
        <v>-1948888.888888889</v>
      </c>
      <c r="M36" s="331">
        <f ca="1">'Cash Flow - Traditional'!M89</f>
        <v>-1948888.888888889</v>
      </c>
      <c r="N36" s="331">
        <f ca="1">'Cash Flow - Traditional'!N89</f>
        <v>-1948888.888888889</v>
      </c>
      <c r="O36" s="331">
        <f ca="1">'Cash Flow - Traditional'!O89</f>
        <v>-1948888.888888889</v>
      </c>
      <c r="P36" s="331">
        <f ca="1">'Cash Flow - Traditional'!P89</f>
        <v>-1948888.888888889</v>
      </c>
      <c r="Q36" s="331">
        <f ca="1">'Cash Flow - Traditional'!Q89</f>
        <v>-1948888.888888889</v>
      </c>
      <c r="R36" s="331">
        <f ca="1">'Cash Flow - Traditional'!R89</f>
        <v>-1948888.888888889</v>
      </c>
      <c r="S36" s="331">
        <f ca="1">'Cash Flow - Traditional'!S89</f>
        <v>-1948888.888888889</v>
      </c>
      <c r="T36" s="331">
        <f ca="1">'Cash Flow - Traditional'!T89</f>
        <v>-1948888.888888889</v>
      </c>
      <c r="U36" s="331">
        <f ca="1">'Cash Flow - Traditional'!U89</f>
        <v>-1948888.888888889</v>
      </c>
      <c r="V36" s="331">
        <f ca="1">'Cash Flow - Traditional'!V89</f>
        <v>-1948888.888888889</v>
      </c>
      <c r="W36" s="331">
        <f ca="1">'Cash Flow - Traditional'!W89</f>
        <v>-1948888.888888889</v>
      </c>
      <c r="X36" s="331">
        <f ca="1">'Cash Flow - Traditional'!X89</f>
        <v>-1948888.888888889</v>
      </c>
      <c r="Y36" s="331">
        <f ca="1">'Cash Flow - Traditional'!Y89</f>
        <v>-1948888.888888889</v>
      </c>
      <c r="Z36" s="331">
        <f ca="1">'Cash Flow - Traditional'!Z89</f>
        <v>-1948888.888888889</v>
      </c>
      <c r="AA36" s="331">
        <f ca="1">'Cash Flow - Traditional'!AA89</f>
        <v>-1948888.8888888888</v>
      </c>
      <c r="AB36" s="331">
        <f ca="1">'Cash Flow - Traditional'!AB89</f>
        <v>-1948888.888888889</v>
      </c>
      <c r="AC36" s="331">
        <f ca="1">'Cash Flow - Traditional'!AC89</f>
        <v>-1948888.888888889</v>
      </c>
      <c r="AD36" s="331">
        <f ca="1">'Cash Flow - Traditional'!AD89</f>
        <v>18328.513297619036</v>
      </c>
      <c r="AE36" s="331">
        <f ca="1">'Cash Flow - Traditional'!AE89</f>
        <v>36657.026595238087</v>
      </c>
      <c r="AF36" s="331">
        <f ca="1">'Cash Flow - Traditional'!AF89</f>
        <v>54985.539892857123</v>
      </c>
      <c r="AG36" s="331">
        <f ca="1">'Cash Flow - Traditional'!AG89</f>
        <v>73314.053190476174</v>
      </c>
      <c r="AH36" s="331">
        <f ca="1">'Cash Flow - Traditional'!AH89</f>
        <v>91642.56648809521</v>
      </c>
      <c r="AI36" s="331">
        <f ca="1">'Cash Flow - Traditional'!AI89</f>
        <v>109971.07978571423</v>
      </c>
      <c r="AJ36" s="331">
        <f ca="1">'Cash Flow - Traditional'!AJ89</f>
        <v>128299.59308333328</v>
      </c>
      <c r="AK36" s="331">
        <f ca="1">'Cash Flow - Traditional'!AK89</f>
        <v>146628.10638095235</v>
      </c>
      <c r="AL36" s="331">
        <f ca="1">'Cash Flow - Traditional'!AL89</f>
        <v>164956.61967857141</v>
      </c>
      <c r="AM36" s="331">
        <f ca="1">'Cash Flow - Traditional'!AM89</f>
        <v>183285.13297619042</v>
      </c>
      <c r="AN36" s="331">
        <f ca="1">'Cash Flow - Traditional'!AN89</f>
        <v>207071.07450136897</v>
      </c>
      <c r="AO36" s="331">
        <f>'Cash Flow - Traditional'!AO89</f>
        <v>54237175.308525346</v>
      </c>
      <c r="AP36" s="331">
        <f>'Cash Flow - Traditional'!AP89</f>
        <v>0</v>
      </c>
      <c r="AQ36" s="331">
        <f>'Cash Flow - Traditional'!AQ89</f>
        <v>0</v>
      </c>
      <c r="AR36" s="331">
        <f>'Cash Flow - Traditional'!AR89</f>
        <v>0</v>
      </c>
      <c r="AS36" s="331">
        <f>'Cash Flow - Traditional'!AS89</f>
        <v>0</v>
      </c>
      <c r="AT36" s="331">
        <f>'Cash Flow - Traditional'!AT89</f>
        <v>0</v>
      </c>
      <c r="AU36" s="331">
        <f>'Cash Flow - Traditional'!AU89</f>
        <v>0</v>
      </c>
      <c r="AV36" s="331">
        <f>'Cash Flow - Traditional'!AV89</f>
        <v>0</v>
      </c>
      <c r="AW36" s="331">
        <f>'Cash Flow - Traditional'!AW89</f>
        <v>0</v>
      </c>
      <c r="AX36" s="331">
        <f>'Cash Flow - Traditional'!AX89</f>
        <v>0</v>
      </c>
      <c r="AY36" s="331">
        <f>'Cash Flow - Traditional'!AY89</f>
        <v>0</v>
      </c>
      <c r="AZ36" s="331">
        <f>'Cash Flow - Traditional'!AZ89</f>
        <v>0</v>
      </c>
      <c r="BA36" s="331">
        <f>'Cash Flow - Traditional'!BA89</f>
        <v>0</v>
      </c>
      <c r="BB36" s="331">
        <f>'Cash Flow - Traditional'!BB89</f>
        <v>0</v>
      </c>
      <c r="BC36" s="331">
        <f>'Cash Flow - Traditional'!BC89</f>
        <v>0</v>
      </c>
      <c r="BD36" s="331">
        <f>'Cash Flow - Traditional'!BD89</f>
        <v>0</v>
      </c>
      <c r="BE36" s="331">
        <f>'Cash Flow - Traditional'!BE89</f>
        <v>0</v>
      </c>
      <c r="BF36" s="331">
        <f>'Cash Flow - Traditional'!BF89</f>
        <v>0</v>
      </c>
      <c r="BG36" s="331">
        <f>'Cash Flow - Traditional'!BG89</f>
        <v>0</v>
      </c>
      <c r="BH36" s="331">
        <f>'Cash Flow - Traditional'!BH89</f>
        <v>0</v>
      </c>
      <c r="BI36" s="331">
        <f>'Cash Flow - Traditional'!BI89</f>
        <v>0</v>
      </c>
      <c r="BJ36" s="331">
        <f>'Cash Flow - Traditional'!BJ89</f>
        <v>0</v>
      </c>
      <c r="BK36" s="331"/>
    </row>
    <row r="38" spans="2:63">
      <c r="B38" t="s">
        <v>291</v>
      </c>
    </row>
    <row r="39" spans="2:63">
      <c r="B39" t="s">
        <v>287</v>
      </c>
      <c r="C39">
        <v>0</v>
      </c>
      <c r="D39">
        <v>1</v>
      </c>
      <c r="E39">
        <v>2</v>
      </c>
      <c r="F39">
        <v>3</v>
      </c>
      <c r="G39">
        <v>4</v>
      </c>
      <c r="H39">
        <v>5</v>
      </c>
      <c r="I39">
        <v>6</v>
      </c>
      <c r="J39">
        <v>7</v>
      </c>
      <c r="K39">
        <v>8</v>
      </c>
      <c r="L39">
        <v>9</v>
      </c>
      <c r="M39">
        <v>10</v>
      </c>
      <c r="N39">
        <v>11</v>
      </c>
      <c r="O39">
        <v>12</v>
      </c>
      <c r="P39">
        <v>13</v>
      </c>
      <c r="Q39">
        <v>14</v>
      </c>
      <c r="R39">
        <v>15</v>
      </c>
      <c r="S39">
        <v>16</v>
      </c>
      <c r="T39">
        <v>17</v>
      </c>
      <c r="U39">
        <v>18</v>
      </c>
      <c r="V39">
        <v>19</v>
      </c>
      <c r="W39">
        <v>20</v>
      </c>
      <c r="X39">
        <v>21</v>
      </c>
      <c r="Y39">
        <v>22</v>
      </c>
      <c r="Z39">
        <v>23</v>
      </c>
      <c r="AA39">
        <v>24</v>
      </c>
      <c r="AB39">
        <v>25</v>
      </c>
      <c r="AC39">
        <v>26</v>
      </c>
      <c r="AD39">
        <v>27</v>
      </c>
      <c r="AE39">
        <v>28</v>
      </c>
      <c r="AF39">
        <v>29</v>
      </c>
      <c r="AG39">
        <v>30</v>
      </c>
      <c r="AH39">
        <v>31</v>
      </c>
      <c r="AI39">
        <v>32</v>
      </c>
      <c r="AJ39">
        <v>33</v>
      </c>
      <c r="AK39">
        <v>34</v>
      </c>
      <c r="AL39">
        <v>35</v>
      </c>
      <c r="AM39">
        <v>36</v>
      </c>
      <c r="AN39">
        <v>37</v>
      </c>
      <c r="AO39">
        <v>38</v>
      </c>
      <c r="AP39">
        <v>39</v>
      </c>
      <c r="AQ39">
        <v>40</v>
      </c>
      <c r="AR39">
        <v>41</v>
      </c>
      <c r="AS39">
        <v>42</v>
      </c>
      <c r="AT39">
        <v>43</v>
      </c>
      <c r="AU39">
        <v>44</v>
      </c>
      <c r="AV39">
        <v>45</v>
      </c>
      <c r="AW39">
        <v>46</v>
      </c>
      <c r="AX39">
        <v>47</v>
      </c>
      <c r="AY39">
        <v>48</v>
      </c>
      <c r="AZ39">
        <v>49</v>
      </c>
      <c r="BA39">
        <v>50</v>
      </c>
      <c r="BB39">
        <v>51</v>
      </c>
      <c r="BC39">
        <v>52</v>
      </c>
      <c r="BD39">
        <v>53</v>
      </c>
      <c r="BE39">
        <v>54</v>
      </c>
      <c r="BF39">
        <v>55</v>
      </c>
      <c r="BG39">
        <v>56</v>
      </c>
      <c r="BH39">
        <v>57</v>
      </c>
      <c r="BI39">
        <v>58</v>
      </c>
      <c r="BJ39">
        <v>59</v>
      </c>
    </row>
    <row r="40" spans="2:63">
      <c r="B40" t="s">
        <v>69</v>
      </c>
      <c r="C40" s="308">
        <f ca="1">SUM($C$35:C35)</f>
        <v>-5246875</v>
      </c>
      <c r="D40" s="308">
        <f ca="1">SUM($C$35:D35)</f>
        <v>-5493750</v>
      </c>
      <c r="E40" s="308">
        <f ca="1">SUM($C$35:E35)</f>
        <v>-5740625</v>
      </c>
      <c r="F40" s="308">
        <f ca="1">SUM($C$35:F35)</f>
        <v>-5987500</v>
      </c>
      <c r="G40" s="308">
        <f ca="1">SUM($C$35:G35)</f>
        <v>-7734375</v>
      </c>
      <c r="H40" s="308">
        <f ca="1">SUM($C$35:H35)</f>
        <v>-13981250</v>
      </c>
      <c r="I40" s="308">
        <f ca="1">SUM($C$35:I35)</f>
        <v>-18428125</v>
      </c>
      <c r="J40" s="308">
        <f ca="1">SUM($C$35:J35)</f>
        <v>-22875000</v>
      </c>
      <c r="K40" s="308">
        <f ca="1">SUM($C$35:K35)</f>
        <v>-27321875</v>
      </c>
      <c r="L40" s="308">
        <f ca="1">SUM($C$35:L35)</f>
        <v>-31768750</v>
      </c>
      <c r="M40" s="308">
        <f ca="1">SUM($C$35:M35)</f>
        <v>-36215625</v>
      </c>
      <c r="N40" s="308">
        <f ca="1">SUM($C$35:N35)</f>
        <v>-37962500</v>
      </c>
      <c r="O40" s="308">
        <f ca="1">SUM($C$35:O35)</f>
        <v>-39709375</v>
      </c>
      <c r="P40" s="308">
        <f ca="1">SUM($C$35:P35)</f>
        <v>-41456250</v>
      </c>
      <c r="Q40" s="308">
        <f ca="1">SUM($C$35:Q35)</f>
        <v>-43203125</v>
      </c>
      <c r="R40" s="308">
        <f ca="1">SUM($C$35:R35)</f>
        <v>-44950000</v>
      </c>
      <c r="S40" s="308">
        <f ca="1">SUM($C$35:S35)</f>
        <v>-44932154.790476188</v>
      </c>
      <c r="T40" s="308">
        <f ca="1">SUM($C$35:T35)</f>
        <v>-44896464.371428572</v>
      </c>
      <c r="U40" s="308">
        <f ca="1">SUM($C$35:U35)</f>
        <v>-44842928.742857143</v>
      </c>
      <c r="V40" s="308">
        <f ca="1">SUM($C$35:V35)</f>
        <v>-44771547.904761903</v>
      </c>
      <c r="W40" s="308">
        <f ca="1">SUM($C$35:W35)</f>
        <v>-44682321.857142858</v>
      </c>
      <c r="X40" s="308">
        <f ca="1">SUM($C$35:X35)</f>
        <v>-44575250.600000001</v>
      </c>
      <c r="Y40" s="308">
        <f ca="1">SUM($C$35:Y35)</f>
        <v>-44450334.133333333</v>
      </c>
      <c r="Z40" s="308">
        <f ca="1">SUM($C$35:Z35)</f>
        <v>-44307572.45714286</v>
      </c>
      <c r="AA40" s="308">
        <f ca="1">SUM($C$35:AA35)</f>
        <v>-44146965.571428575</v>
      </c>
      <c r="AB40" s="308">
        <f ca="1">SUM($C$35:AB35)</f>
        <v>-43963680.438452385</v>
      </c>
      <c r="AC40" s="308">
        <f ca="1">SUM($C$35:AC35)</f>
        <v>-43762066.792178579</v>
      </c>
      <c r="AD40" s="308">
        <f ca="1">SUM($C$35:AD35)</f>
        <v>9046398.4334859699</v>
      </c>
      <c r="AE40" s="308">
        <f ca="1">SUM($C$35:AE35)</f>
        <v>9046398.4334859699</v>
      </c>
      <c r="AF40" s="308">
        <f ca="1">SUM($C$35:AF35)</f>
        <v>9046398.4334859699</v>
      </c>
      <c r="AG40" s="308">
        <f ca="1">SUM($C$35:AG35)</f>
        <v>9046398.4334859699</v>
      </c>
      <c r="AH40" s="308">
        <f ca="1">SUM($C$35:AH35)</f>
        <v>9046398.4334859699</v>
      </c>
      <c r="AI40" s="308">
        <f ca="1">SUM($C$35:AI35)</f>
        <v>9046398.4334859699</v>
      </c>
      <c r="AJ40" s="308">
        <f ca="1">SUM($C$35:AJ35)</f>
        <v>9046398.4334859699</v>
      </c>
      <c r="AK40" s="308">
        <f ca="1">SUM($C$35:AK35)</f>
        <v>9046398.4334859699</v>
      </c>
      <c r="AL40" s="308">
        <f ca="1">SUM($C$35:AL35)</f>
        <v>9046398.4334859699</v>
      </c>
      <c r="AM40" s="308">
        <f ca="1">SUM($C$35:AM35)</f>
        <v>9046398.4334859699</v>
      </c>
      <c r="AN40" s="308">
        <f ca="1">SUM($C$35:AN35)</f>
        <v>9046398.4334859699</v>
      </c>
      <c r="AO40" s="308">
        <f ca="1">SUM($C$35:AO35)</f>
        <v>9046398.4334859699</v>
      </c>
      <c r="AP40" s="308">
        <f ca="1">SUM($C$35:AP35)</f>
        <v>9046398.4334859699</v>
      </c>
      <c r="AQ40" s="308">
        <f ca="1">SUM($C$35:AQ35)</f>
        <v>9046398.4334859699</v>
      </c>
      <c r="AR40" s="308">
        <f ca="1">SUM($C$35:AR35)</f>
        <v>9046398.4334859699</v>
      </c>
      <c r="AS40" s="308">
        <f ca="1">SUM($C$35:AS35)</f>
        <v>9046398.4334859699</v>
      </c>
      <c r="AT40" s="308">
        <f ca="1">SUM($C$35:AT35)</f>
        <v>9046398.4334859699</v>
      </c>
      <c r="AU40" s="308">
        <f ca="1">SUM($C$35:AU35)</f>
        <v>9046398.4334859699</v>
      </c>
      <c r="AV40" s="308">
        <f ca="1">SUM($C$35:AV35)</f>
        <v>9046398.4334859699</v>
      </c>
      <c r="AW40" s="308">
        <f ca="1">SUM($C$35:AW35)</f>
        <v>9046398.4334859699</v>
      </c>
      <c r="AX40" s="308">
        <f ca="1">SUM($C$35:AX35)</f>
        <v>9046398.4334859699</v>
      </c>
      <c r="AY40" s="308">
        <f ca="1">SUM($C$35:AY35)</f>
        <v>9046398.4334859699</v>
      </c>
      <c r="AZ40" s="308">
        <f ca="1">SUM($C$35:AZ35)</f>
        <v>9046398.4334859699</v>
      </c>
      <c r="BA40" s="308">
        <f ca="1">SUM($C$35:BA35)</f>
        <v>9046398.4334859699</v>
      </c>
      <c r="BB40" s="308">
        <f ca="1">SUM($C$35:BB35)</f>
        <v>9046398.4334859699</v>
      </c>
      <c r="BC40" s="308">
        <f ca="1">SUM($C$35:BC35)</f>
        <v>9046398.4334859699</v>
      </c>
      <c r="BD40" s="308">
        <f ca="1">SUM($C$35:BD35)</f>
        <v>9046398.4334859699</v>
      </c>
      <c r="BE40" s="308">
        <f ca="1">SUM($C$35:BE35)</f>
        <v>9046398.4334859699</v>
      </c>
      <c r="BF40" s="308">
        <f ca="1">SUM($C$35:BF35)</f>
        <v>9046398.4334859699</v>
      </c>
      <c r="BG40" s="308">
        <f ca="1">SUM($C$35:BG35)</f>
        <v>9046398.4334859699</v>
      </c>
      <c r="BH40" s="308">
        <f ca="1">SUM($C$35:BH35)</f>
        <v>9046398.4334859699</v>
      </c>
      <c r="BI40" s="308">
        <f ca="1">SUM($C$35:BI35)</f>
        <v>9046398.4334859699</v>
      </c>
      <c r="BJ40" s="308">
        <f ca="1">SUM($C$35:BJ35)</f>
        <v>9046398.4334859699</v>
      </c>
      <c r="BK40" s="308"/>
    </row>
    <row r="41" spans="2:63">
      <c r="B41" t="s">
        <v>288</v>
      </c>
      <c r="C41" s="308">
        <f ca="1">SUM($C$36:C36)</f>
        <v>-5148888.888888889</v>
      </c>
      <c r="D41" s="308">
        <f ca="1">SUM($C$36:D36)</f>
        <v>-5297777.777777778</v>
      </c>
      <c r="E41" s="308">
        <f ca="1">SUM($C$36:E36)</f>
        <v>-5446666.666666667</v>
      </c>
      <c r="F41" s="308">
        <f ca="1">SUM($C$36:F36)</f>
        <v>-5595555.555555556</v>
      </c>
      <c r="G41" s="308">
        <f ca="1">SUM($C$36:G36)</f>
        <v>-5744444.444444445</v>
      </c>
      <c r="H41" s="308">
        <f ca="1">SUM($C$36:H36)</f>
        <v>-5893333.333333334</v>
      </c>
      <c r="I41" s="308">
        <f ca="1">SUM($C$36:I36)</f>
        <v>-6042222.2222222229</v>
      </c>
      <c r="J41" s="308">
        <f ca="1">SUM($C$36:J36)</f>
        <v>-7991111.1111111119</v>
      </c>
      <c r="K41" s="308">
        <f ca="1">SUM($C$36:K36)</f>
        <v>-9940000</v>
      </c>
      <c r="L41" s="308">
        <f ca="1">SUM($C$36:L36)</f>
        <v>-11888888.888888888</v>
      </c>
      <c r="M41" s="308">
        <f ca="1">SUM($C$36:M36)</f>
        <v>-13837777.777777776</v>
      </c>
      <c r="N41" s="308">
        <f ca="1">SUM($C$36:N36)</f>
        <v>-15786666.666666664</v>
      </c>
      <c r="O41" s="308">
        <f ca="1">SUM($C$36:O36)</f>
        <v>-17735555.555555552</v>
      </c>
      <c r="P41" s="308">
        <f ca="1">SUM($C$36:P36)</f>
        <v>-19684444.44444444</v>
      </c>
      <c r="Q41" s="308">
        <f ca="1">SUM($C$36:Q36)</f>
        <v>-21633333.333333328</v>
      </c>
      <c r="R41" s="308">
        <f ca="1">SUM($C$36:R36)</f>
        <v>-23582222.222222216</v>
      </c>
      <c r="S41" s="308">
        <f ca="1">SUM($C$36:S36)</f>
        <v>-25531111.111111104</v>
      </c>
      <c r="T41" s="308">
        <f ca="1">SUM($C$36:T36)</f>
        <v>-27479999.999999993</v>
      </c>
      <c r="U41" s="308">
        <f ca="1">SUM($C$36:U36)</f>
        <v>-29428888.888888881</v>
      </c>
      <c r="V41" s="308">
        <f ca="1">SUM($C$36:V36)</f>
        <v>-31377777.777777769</v>
      </c>
      <c r="W41" s="308">
        <f ca="1">SUM($C$36:W36)</f>
        <v>-33326666.666666657</v>
      </c>
      <c r="X41" s="308">
        <f ca="1">SUM($C$36:X36)</f>
        <v>-35275555.555555545</v>
      </c>
      <c r="Y41" s="308">
        <f ca="1">SUM($C$36:Y36)</f>
        <v>-37224444.444444433</v>
      </c>
      <c r="Z41" s="308">
        <f ca="1">SUM($C$36:Z36)</f>
        <v>-39173333.333333321</v>
      </c>
      <c r="AA41" s="308">
        <f ca="1">SUM($C$36:AA36)</f>
        <v>-41122222.222222209</v>
      </c>
      <c r="AB41" s="308">
        <f ca="1">SUM($C$36:AB36)</f>
        <v>-43071111.111111097</v>
      </c>
      <c r="AC41" s="308">
        <f ca="1">SUM($C$36:AC36)</f>
        <v>-45019999.999999985</v>
      </c>
      <c r="AD41" s="308">
        <f ca="1">SUM($C$36:AD36)</f>
        <v>-45001671.486702368</v>
      </c>
      <c r="AE41" s="308">
        <f ca="1">SUM($C$36:AE36)</f>
        <v>-44965014.460107133</v>
      </c>
      <c r="AF41" s="308">
        <f ca="1">SUM($C$36:AF36)</f>
        <v>-44910028.920214273</v>
      </c>
      <c r="AG41" s="308">
        <f ca="1">SUM($C$36:AG36)</f>
        <v>-44836714.867023796</v>
      </c>
      <c r="AH41" s="308">
        <f ca="1">SUM($C$36:AH36)</f>
        <v>-44745072.300535701</v>
      </c>
      <c r="AI41" s="308">
        <f ca="1">SUM($C$36:AI36)</f>
        <v>-44635101.220749989</v>
      </c>
      <c r="AJ41" s="308">
        <f ca="1">SUM($C$36:AJ36)</f>
        <v>-44506801.627666652</v>
      </c>
      <c r="AK41" s="308">
        <f ca="1">SUM($C$36:AK36)</f>
        <v>-44360173.521285698</v>
      </c>
      <c r="AL41" s="308">
        <f ca="1">SUM($C$36:AL36)</f>
        <v>-44195216.901607126</v>
      </c>
      <c r="AM41" s="308">
        <f ca="1">SUM($C$36:AM36)</f>
        <v>-44011931.768630937</v>
      </c>
      <c r="AN41" s="308">
        <f ca="1">SUM($C$36:AN36)</f>
        <v>-43804860.694129571</v>
      </c>
      <c r="AO41" s="308">
        <f ca="1">SUM($C$36:AO36)</f>
        <v>10432314.614395775</v>
      </c>
      <c r="AP41" s="308">
        <f ca="1">SUM($C$36:AP36)</f>
        <v>10432314.614395775</v>
      </c>
      <c r="AQ41" s="308">
        <f ca="1">SUM($C$36:AQ36)</f>
        <v>10432314.614395775</v>
      </c>
      <c r="AR41" s="308">
        <f ca="1">SUM($C$36:AR36)</f>
        <v>10432314.614395775</v>
      </c>
      <c r="AS41" s="308">
        <f ca="1">SUM($C$36:AS36)</f>
        <v>10432314.614395775</v>
      </c>
      <c r="AT41" s="308">
        <f ca="1">SUM($C$36:AT36)</f>
        <v>10432314.614395775</v>
      </c>
      <c r="AU41" s="308">
        <f ca="1">SUM($C$36:AU36)</f>
        <v>10432314.614395775</v>
      </c>
      <c r="AV41" s="308">
        <f ca="1">SUM($C$36:AV36)</f>
        <v>10432314.614395775</v>
      </c>
      <c r="AW41" s="308">
        <f ca="1">SUM($C$36:AW36)</f>
        <v>10432314.614395775</v>
      </c>
      <c r="AX41" s="308">
        <f ca="1">SUM($C$36:AX36)</f>
        <v>10432314.614395775</v>
      </c>
      <c r="AY41" s="308">
        <f ca="1">SUM($C$36:AY36)</f>
        <v>10432314.614395775</v>
      </c>
      <c r="AZ41" s="308">
        <f ca="1">SUM($C$36:AZ36)</f>
        <v>10432314.614395775</v>
      </c>
      <c r="BA41" s="308">
        <f ca="1">SUM($C$36:BA36)</f>
        <v>10432314.614395775</v>
      </c>
      <c r="BB41" s="308">
        <f ca="1">SUM($C$36:BB36)</f>
        <v>10432314.614395775</v>
      </c>
      <c r="BC41" s="308">
        <f ca="1">SUM($C$36:BC36)</f>
        <v>10432314.614395775</v>
      </c>
      <c r="BD41" s="308">
        <f ca="1">SUM($C$36:BD36)</f>
        <v>10432314.614395775</v>
      </c>
      <c r="BE41" s="308">
        <f ca="1">SUM($C$36:BE36)</f>
        <v>10432314.614395775</v>
      </c>
      <c r="BF41" s="308">
        <f ca="1">SUM($C$36:BF36)</f>
        <v>10432314.614395775</v>
      </c>
      <c r="BG41" s="308">
        <f ca="1">SUM($C$36:BG36)</f>
        <v>10432314.614395775</v>
      </c>
      <c r="BH41" s="308">
        <f ca="1">SUM($C$36:BH36)</f>
        <v>10432314.614395775</v>
      </c>
      <c r="BI41" s="308">
        <f ca="1">SUM($C$36:BI36)</f>
        <v>10432314.614395775</v>
      </c>
      <c r="BJ41" s="308">
        <f ca="1">SUM($C$36:BJ36)</f>
        <v>10432314.614395775</v>
      </c>
      <c r="BK41" s="308"/>
    </row>
    <row r="60" spans="2:9" ht="16" thickBot="1"/>
    <row r="61" spans="2:9" ht="20" thickBot="1">
      <c r="B61" s="307" t="s">
        <v>48</v>
      </c>
      <c r="C61" s="280"/>
      <c r="D61" s="280"/>
      <c r="E61" s="280"/>
      <c r="F61" s="280"/>
      <c r="G61" s="280"/>
      <c r="H61" s="280"/>
      <c r="I61" s="281"/>
    </row>
    <row r="62" spans="2:9" ht="16" thickTop="1">
      <c r="B62" s="282"/>
      <c r="C62" s="119"/>
      <c r="D62" s="119"/>
      <c r="E62" s="119"/>
      <c r="F62" s="119"/>
      <c r="G62" s="119"/>
      <c r="H62" s="119"/>
      <c r="I62" s="283"/>
    </row>
    <row r="63" spans="2:9">
      <c r="B63" s="282"/>
      <c r="C63" s="338"/>
      <c r="D63" s="339" t="s">
        <v>292</v>
      </c>
      <c r="E63" s="339" t="s">
        <v>288</v>
      </c>
      <c r="F63" s="344" t="s">
        <v>48</v>
      </c>
      <c r="G63" s="340"/>
      <c r="H63" s="341"/>
      <c r="I63" s="283"/>
    </row>
    <row r="64" spans="2:9">
      <c r="B64" s="282"/>
      <c r="C64" s="342" t="s">
        <v>26</v>
      </c>
      <c r="D64" s="335">
        <f>Summary!D30</f>
        <v>12</v>
      </c>
      <c r="E64" s="335">
        <f>Summary!D47</f>
        <v>20</v>
      </c>
      <c r="F64" s="345">
        <f>(E64-D64)/E64</f>
        <v>0.4</v>
      </c>
      <c r="G64" s="346" t="s">
        <v>293</v>
      </c>
      <c r="H64" s="332"/>
      <c r="I64" s="283"/>
    </row>
    <row r="65" spans="2:9">
      <c r="B65" s="282"/>
      <c r="C65" s="342" t="s">
        <v>189</v>
      </c>
      <c r="D65" s="336">
        <f ca="1">Summary!D44</f>
        <v>0.17193008065223694</v>
      </c>
      <c r="E65" s="336">
        <f ca="1">Summary!D61</f>
        <v>0.14393962025642398</v>
      </c>
      <c r="F65" s="347">
        <f ca="1">(D65-E65)/E65</f>
        <v>0.19445973489403975</v>
      </c>
      <c r="G65" s="348" t="s">
        <v>294</v>
      </c>
      <c r="H65" s="333"/>
      <c r="I65" s="283"/>
    </row>
    <row r="66" spans="2:9">
      <c r="B66" s="282"/>
      <c r="C66" s="343" t="s">
        <v>295</v>
      </c>
      <c r="D66" s="337">
        <f ca="1">SUM(Inputs!L49,Inputs!L51)</f>
        <v>1967424.7300151389</v>
      </c>
      <c r="E66" s="337">
        <f ca="1">SUM(Inputs!S49,Inputs!S51)</f>
        <v>2193398.2970234649</v>
      </c>
      <c r="F66" s="349">
        <f ca="1">(E66-D66)/E66</f>
        <v>0.10302441071235527</v>
      </c>
      <c r="G66" s="350" t="s">
        <v>296</v>
      </c>
      <c r="H66" s="334"/>
      <c r="I66" s="283"/>
    </row>
    <row r="67" spans="2:9" ht="16" thickBot="1">
      <c r="B67" s="299"/>
      <c r="C67" s="300"/>
      <c r="D67" s="300"/>
      <c r="E67" s="300"/>
      <c r="F67" s="300"/>
      <c r="G67" s="300"/>
      <c r="H67" s="300"/>
      <c r="I67" s="30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76D4A-4D80-42F0-B5A9-0DD4CE6AFDD9}">
  <dimension ref="A1:AC9"/>
  <sheetViews>
    <sheetView zoomScale="80" zoomScaleNormal="80" workbookViewId="0">
      <selection activeCell="T26" sqref="T26"/>
    </sheetView>
  </sheetViews>
  <sheetFormatPr baseColWidth="10" defaultColWidth="35.5" defaultRowHeight="15"/>
  <cols>
    <col min="1" max="1" width="2.5" bestFit="1" customWidth="1"/>
    <col min="2" max="2" width="33.83203125" customWidth="1"/>
    <col min="3" max="3" width="37.83203125" customWidth="1"/>
    <col min="4" max="4" width="8.5" bestFit="1" customWidth="1"/>
    <col min="5" max="5" width="7.5" bestFit="1" customWidth="1"/>
    <col min="6" max="6" width="6.5" bestFit="1" customWidth="1"/>
    <col min="7" max="7" width="7.5" bestFit="1" customWidth="1"/>
    <col min="8" max="8" width="13.83203125" bestFit="1" customWidth="1"/>
    <col min="9" max="9" width="7.5" bestFit="1" customWidth="1"/>
    <col min="10" max="10" width="6.5" bestFit="1" customWidth="1"/>
    <col min="11" max="11" width="7.5" bestFit="1" customWidth="1"/>
    <col min="12" max="12" width="13.83203125" bestFit="1" customWidth="1"/>
    <col min="13" max="13" width="7.5" bestFit="1" customWidth="1"/>
    <col min="14" max="14" width="6.5" bestFit="1" customWidth="1"/>
    <col min="15" max="15" width="8.1640625" bestFit="1" customWidth="1"/>
    <col min="16" max="16" width="13.83203125" bestFit="1" customWidth="1"/>
    <col min="17" max="17" width="7.5" bestFit="1" customWidth="1"/>
    <col min="18" max="18" width="5.83203125" bestFit="1" customWidth="1"/>
    <col min="19" max="19" width="8.5" bestFit="1" customWidth="1"/>
    <col min="20" max="20" width="12.5" bestFit="1" customWidth="1"/>
    <col min="21" max="22" width="8.5" bestFit="1" customWidth="1"/>
    <col min="23" max="23" width="21.5" customWidth="1"/>
    <col min="24" max="24" width="5.5" bestFit="1" customWidth="1"/>
    <col min="25" max="28" width="17.1640625" customWidth="1"/>
    <col min="29" max="29" width="104.5" bestFit="1" customWidth="1"/>
  </cols>
  <sheetData>
    <row r="1" spans="1:29" ht="16">
      <c r="A1" s="481" t="s">
        <v>297</v>
      </c>
      <c r="B1" s="482"/>
      <c r="C1" s="94"/>
      <c r="D1" s="74"/>
      <c r="E1" s="75"/>
      <c r="F1" s="478" t="s">
        <v>298</v>
      </c>
      <c r="G1" s="480"/>
      <c r="H1" s="480"/>
      <c r="I1" s="479"/>
      <c r="J1" s="478" t="s">
        <v>299</v>
      </c>
      <c r="K1" s="480"/>
      <c r="L1" s="480"/>
      <c r="M1" s="479"/>
      <c r="N1" s="478" t="s">
        <v>300</v>
      </c>
      <c r="O1" s="480"/>
      <c r="P1" s="480"/>
      <c r="Q1" s="479"/>
      <c r="R1" s="478" t="s">
        <v>301</v>
      </c>
      <c r="S1" s="480"/>
      <c r="T1" s="480"/>
      <c r="U1" s="479"/>
      <c r="V1" s="478" t="s">
        <v>302</v>
      </c>
      <c r="W1" s="479"/>
      <c r="X1" s="478" t="s">
        <v>303</v>
      </c>
      <c r="Y1" s="480"/>
      <c r="Z1" s="480"/>
      <c r="AA1" s="480"/>
      <c r="AB1" s="480"/>
      <c r="AC1" s="73" t="s">
        <v>304</v>
      </c>
    </row>
    <row r="2" spans="1:29" ht="16">
      <c r="A2" s="78" t="s">
        <v>98</v>
      </c>
      <c r="B2" s="79" t="s">
        <v>305</v>
      </c>
      <c r="C2" s="79" t="s">
        <v>3</v>
      </c>
      <c r="D2" s="80" t="s">
        <v>306</v>
      </c>
      <c r="E2" s="81" t="s">
        <v>307</v>
      </c>
      <c r="F2" s="78" t="s">
        <v>308</v>
      </c>
      <c r="G2" s="80" t="s">
        <v>99</v>
      </c>
      <c r="H2" s="80" t="s">
        <v>309</v>
      </c>
      <c r="I2" s="81" t="s">
        <v>310</v>
      </c>
      <c r="J2" s="78" t="s">
        <v>308</v>
      </c>
      <c r="K2" s="80" t="s">
        <v>99</v>
      </c>
      <c r="L2" s="80" t="s">
        <v>309</v>
      </c>
      <c r="M2" s="81" t="s">
        <v>310</v>
      </c>
      <c r="N2" s="78" t="s">
        <v>308</v>
      </c>
      <c r="O2" s="80" t="s">
        <v>99</v>
      </c>
      <c r="P2" s="80" t="s">
        <v>309</v>
      </c>
      <c r="Q2" s="81" t="s">
        <v>310</v>
      </c>
      <c r="R2" s="78" t="s">
        <v>308</v>
      </c>
      <c r="S2" s="80" t="s">
        <v>99</v>
      </c>
      <c r="T2" s="80" t="s">
        <v>309</v>
      </c>
      <c r="U2" s="81" t="s">
        <v>310</v>
      </c>
      <c r="V2" s="78" t="s">
        <v>100</v>
      </c>
      <c r="W2" s="81" t="s">
        <v>99</v>
      </c>
      <c r="X2" s="78" t="s">
        <v>311</v>
      </c>
      <c r="Y2" s="80" t="s">
        <v>104</v>
      </c>
      <c r="Z2" s="80" t="s">
        <v>108</v>
      </c>
      <c r="AA2" s="80" t="s">
        <v>110</v>
      </c>
      <c r="AB2" s="80" t="s">
        <v>312</v>
      </c>
      <c r="AC2" s="81"/>
    </row>
    <row r="3" spans="1:29">
      <c r="A3" s="76">
        <v>1</v>
      </c>
      <c r="B3" s="61"/>
      <c r="C3" s="61"/>
      <c r="D3" s="9"/>
      <c r="E3" s="77"/>
      <c r="F3" s="1"/>
      <c r="H3" s="63"/>
      <c r="I3" s="68"/>
      <c r="J3" s="1"/>
      <c r="L3" s="63"/>
      <c r="M3" s="68"/>
      <c r="N3" s="67"/>
      <c r="P3" s="63"/>
      <c r="Q3" s="68"/>
      <c r="R3" s="67"/>
      <c r="T3" s="63"/>
      <c r="U3" s="68"/>
      <c r="V3" s="95"/>
      <c r="W3" s="3"/>
      <c r="X3" s="87"/>
      <c r="Y3" s="88"/>
      <c r="Z3" s="88"/>
      <c r="AA3" s="88"/>
      <c r="AB3" s="88"/>
      <c r="AC3" s="3"/>
    </row>
    <row r="4" spans="1:29">
      <c r="A4" s="76">
        <f>A3+1</f>
        <v>2</v>
      </c>
      <c r="B4" s="61"/>
      <c r="C4" s="61"/>
      <c r="D4" s="62"/>
      <c r="E4" s="77"/>
      <c r="F4" s="69"/>
      <c r="G4" s="64"/>
      <c r="H4" s="63"/>
      <c r="I4" s="68"/>
      <c r="J4" s="69"/>
      <c r="K4" s="65"/>
      <c r="L4" s="63"/>
      <c r="M4" s="68"/>
      <c r="N4" s="69"/>
      <c r="O4" s="66"/>
      <c r="P4" s="63"/>
      <c r="Q4" s="68"/>
      <c r="R4" s="69"/>
      <c r="S4" s="66"/>
      <c r="T4" s="63"/>
      <c r="U4" s="68"/>
      <c r="V4" s="95"/>
      <c r="W4" s="3"/>
      <c r="X4" s="87"/>
      <c r="Y4" s="88"/>
      <c r="Z4" s="88"/>
      <c r="AA4" s="88"/>
      <c r="AB4" s="88"/>
      <c r="AC4" s="3"/>
    </row>
    <row r="5" spans="1:29">
      <c r="A5" s="76">
        <f>A4+1</f>
        <v>3</v>
      </c>
      <c r="B5" s="61"/>
      <c r="C5" s="61"/>
      <c r="D5" s="62"/>
      <c r="E5" s="77"/>
      <c r="F5" s="69"/>
      <c r="G5" s="64"/>
      <c r="H5" s="63"/>
      <c r="I5" s="68"/>
      <c r="J5" s="69"/>
      <c r="K5" s="64"/>
      <c r="L5" s="63"/>
      <c r="M5" s="68"/>
      <c r="N5" s="69"/>
      <c r="O5" s="66"/>
      <c r="P5" s="63"/>
      <c r="Q5" s="68"/>
      <c r="R5" s="69"/>
      <c r="S5" s="66"/>
      <c r="T5" s="63"/>
      <c r="U5" s="68"/>
      <c r="V5" s="95"/>
      <c r="W5" s="3"/>
      <c r="X5" s="87"/>
      <c r="Y5" s="88"/>
      <c r="Z5" s="88"/>
      <c r="AA5" s="88"/>
      <c r="AB5" s="88"/>
      <c r="AC5" s="3"/>
    </row>
    <row r="6" spans="1:29">
      <c r="A6" s="76">
        <f>A5+1</f>
        <v>4</v>
      </c>
      <c r="B6" s="61"/>
      <c r="C6" s="61"/>
      <c r="D6" s="62"/>
      <c r="E6" s="77"/>
      <c r="F6" s="69"/>
      <c r="G6" s="64"/>
      <c r="H6" s="63"/>
      <c r="I6" s="68"/>
      <c r="J6" s="69"/>
      <c r="K6" s="64"/>
      <c r="L6" s="63"/>
      <c r="M6" s="68"/>
      <c r="N6" s="69"/>
      <c r="O6" s="66"/>
      <c r="P6" s="63"/>
      <c r="Q6" s="68"/>
      <c r="R6" s="69"/>
      <c r="S6" s="66"/>
      <c r="T6" s="63"/>
      <c r="U6" s="68"/>
      <c r="V6" s="71"/>
      <c r="W6" s="68"/>
      <c r="X6" s="87"/>
      <c r="Y6" s="88"/>
      <c r="Z6" s="88"/>
      <c r="AA6" s="88"/>
      <c r="AB6" s="88"/>
      <c r="AC6" s="3"/>
    </row>
    <row r="7" spans="1:29">
      <c r="A7" s="76">
        <f>A6+1</f>
        <v>5</v>
      </c>
      <c r="B7" s="61"/>
      <c r="C7" s="61"/>
      <c r="D7" s="62"/>
      <c r="E7" s="77"/>
      <c r="F7" s="69"/>
      <c r="G7" s="64"/>
      <c r="H7" s="63"/>
      <c r="I7" s="70"/>
      <c r="J7" s="69"/>
      <c r="K7" s="64"/>
      <c r="L7" s="63"/>
      <c r="M7" s="70"/>
      <c r="N7" s="69"/>
      <c r="O7" s="66"/>
      <c r="P7" s="63"/>
      <c r="Q7" s="68"/>
      <c r="R7" s="69"/>
      <c r="S7" s="66"/>
      <c r="T7" s="63"/>
      <c r="U7" s="68"/>
      <c r="V7" s="72"/>
      <c r="W7" s="70"/>
      <c r="X7" s="87"/>
      <c r="Y7" s="89"/>
      <c r="Z7" s="68"/>
      <c r="AA7" s="68"/>
      <c r="AB7" s="68"/>
      <c r="AC7" s="3"/>
    </row>
    <row r="8" spans="1:29">
      <c r="A8" s="76">
        <f>A7+1</f>
        <v>6</v>
      </c>
      <c r="B8" s="61"/>
      <c r="C8" s="61"/>
      <c r="D8" s="62"/>
      <c r="E8" s="77"/>
      <c r="F8" s="69"/>
      <c r="G8" s="64"/>
      <c r="H8" s="63"/>
      <c r="I8" s="70"/>
      <c r="J8" s="69"/>
      <c r="K8" s="65"/>
      <c r="L8" s="63"/>
      <c r="M8" s="68"/>
      <c r="N8" s="69"/>
      <c r="O8" s="66"/>
      <c r="P8" s="63"/>
      <c r="Q8" s="68"/>
      <c r="R8" s="69"/>
      <c r="S8" s="66"/>
      <c r="T8" s="63"/>
      <c r="U8" s="68"/>
      <c r="V8" s="71"/>
      <c r="W8" s="68"/>
      <c r="X8" s="87"/>
      <c r="Y8" s="90"/>
      <c r="Z8" s="68"/>
      <c r="AA8" s="68"/>
      <c r="AB8" s="68"/>
      <c r="AC8" s="3"/>
    </row>
    <row r="9" spans="1:29" ht="16">
      <c r="A9" s="54"/>
      <c r="B9" s="55" t="s">
        <v>313</v>
      </c>
      <c r="C9" s="55"/>
      <c r="D9" s="56"/>
      <c r="E9" s="82"/>
      <c r="F9" s="83"/>
      <c r="G9" s="57" t="e">
        <f>AVERAGE(G3:G8)</f>
        <v>#DIV/0!</v>
      </c>
      <c r="H9" s="57" t="e">
        <f>AVERAGE(H3:H8)</f>
        <v>#DIV/0!</v>
      </c>
      <c r="I9" s="84" t="e">
        <f>AVERAGE(I3:I8)</f>
        <v>#DIV/0!</v>
      </c>
      <c r="J9" s="83"/>
      <c r="K9" s="57" t="e">
        <f>AVERAGE(K3:K8)</f>
        <v>#DIV/0!</v>
      </c>
      <c r="L9" s="57" t="e">
        <f>AVERAGE(L3:L8)</f>
        <v>#DIV/0!</v>
      </c>
      <c r="M9" s="84" t="e">
        <f>AVERAGE(M3:M8)</f>
        <v>#DIV/0!</v>
      </c>
      <c r="N9" s="83"/>
      <c r="O9" s="57" t="e">
        <f>AVERAGE(O3:O8)</f>
        <v>#DIV/0!</v>
      </c>
      <c r="P9" s="57" t="e">
        <f>AVERAGE(P3:P8)</f>
        <v>#DIV/0!</v>
      </c>
      <c r="Q9" s="84" t="e">
        <f>AVERAGE(Q3:Q8)</f>
        <v>#DIV/0!</v>
      </c>
      <c r="R9" s="83"/>
      <c r="S9" s="57" t="e">
        <f>AVERAGE(S3:S8)</f>
        <v>#DIV/0!</v>
      </c>
      <c r="T9" s="57" t="e">
        <f>AVERAGE(T3:T8)</f>
        <v>#DIV/0!</v>
      </c>
      <c r="U9" s="84" t="e">
        <f>AVERAGE(U3:U8)</f>
        <v>#DIV/0!</v>
      </c>
      <c r="V9" s="85"/>
      <c r="W9" s="86"/>
      <c r="X9" s="85"/>
      <c r="Y9" s="57" t="e">
        <f>SUMIF(Y3:Y8,"&gt;0",Y3:Y8)/COUNTIF(Y3:Y8,"&gt;0")</f>
        <v>#DIV/0!</v>
      </c>
      <c r="Z9" s="57" t="e">
        <f>SUMIF(Z3:Z8,"&gt;0",Z3:Z8)/COUNTIF(Z3:Z8,"&gt;0")</f>
        <v>#DIV/0!</v>
      </c>
      <c r="AA9" s="57" t="e">
        <f>SUMIF(AA3:AA8,"&gt;0",AA3:AA8)/COUNTIF(AA3:AA8,"&gt;0")</f>
        <v>#DIV/0!</v>
      </c>
      <c r="AB9" s="57" t="e">
        <f>SUMIF(AB3:AB8,"&gt;0",AB3:AB8)/COUNTIF(AB3:AB8,"&gt;0")</f>
        <v>#DIV/0!</v>
      </c>
      <c r="AC9" s="86"/>
    </row>
  </sheetData>
  <mergeCells count="7">
    <mergeCell ref="V1:W1"/>
    <mergeCell ref="X1:AB1"/>
    <mergeCell ref="A1:B1"/>
    <mergeCell ref="F1:I1"/>
    <mergeCell ref="J1:M1"/>
    <mergeCell ref="N1:Q1"/>
    <mergeCell ref="R1:U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6177A-4F37-4E1D-88F7-5BD5ADF464B2}">
  <dimension ref="A1:E9"/>
  <sheetViews>
    <sheetView workbookViewId="0">
      <selection activeCell="C35" sqref="C35"/>
    </sheetView>
  </sheetViews>
  <sheetFormatPr baseColWidth="10" defaultColWidth="8.83203125" defaultRowHeight="15"/>
  <cols>
    <col min="1" max="1" width="28" bestFit="1" customWidth="1"/>
    <col min="3" max="3" width="60.5" customWidth="1"/>
  </cols>
  <sheetData>
    <row r="1" spans="1:5">
      <c r="A1" s="5"/>
      <c r="B1" s="5"/>
      <c r="C1" s="5"/>
      <c r="D1" s="5"/>
    </row>
    <row r="2" spans="1:5">
      <c r="B2" s="91"/>
      <c r="C2" s="91"/>
      <c r="D2" s="92"/>
    </row>
    <row r="3" spans="1:5">
      <c r="B3" s="6"/>
      <c r="C3" s="6"/>
      <c r="D3" s="92"/>
      <c r="E3" s="60"/>
    </row>
    <row r="4" spans="1:5">
      <c r="B4" s="93"/>
    </row>
    <row r="5" spans="1:5">
      <c r="B5" s="93"/>
      <c r="D5" s="92"/>
    </row>
    <row r="6" spans="1:5">
      <c r="B6" s="91"/>
      <c r="C6" s="91"/>
      <c r="D6" s="92"/>
    </row>
    <row r="7" spans="1:5">
      <c r="B7" s="6"/>
      <c r="D7" s="92"/>
    </row>
    <row r="9" spans="1:5">
      <c r="D9" s="6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cb6664-b18b-422d-a4d2-c029467d6ce9" xsi:nil="true"/>
    <lcf76f155ced4ddcb4097134ff3c332f xmlns="e1f6ec56-9f22-425f-a979-71133cb0a889">
      <Terms xmlns="http://schemas.microsoft.com/office/infopath/2007/PartnerControls"/>
    </lcf76f155ced4ddcb4097134ff3c332f>
    <SharedWithUsers xmlns="6acb6664-b18b-422d-a4d2-c029467d6ce9">
      <UserInfo>
        <DisplayName>Michael Palmer</DisplayName>
        <AccountId>29</AccountId>
        <AccountType/>
      </UserInfo>
      <UserInfo>
        <DisplayName>David Fetzer</DisplayName>
        <AccountId>15</AccountId>
        <AccountType/>
      </UserInfo>
      <UserInfo>
        <DisplayName>Ryan Briglia</DisplayName>
        <AccountId>360</AccountId>
        <AccountType/>
      </UserInfo>
      <UserInfo>
        <DisplayName>Helena Lidelow</DisplayName>
        <AccountId>1285</AccountId>
        <AccountType/>
      </UserInfo>
      <UserInfo>
        <DisplayName>Wojciech  Chyrek</DisplayName>
        <AccountId>1286</AccountId>
        <AccountType/>
      </UserInfo>
      <UserInfo>
        <DisplayName>David Johnson</DisplayName>
        <AccountId>1287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5F4BF900994A4BAC148D15F44B9E04" ma:contentTypeVersion="15" ma:contentTypeDescription="Create a new document." ma:contentTypeScope="" ma:versionID="f67ba3ad92fa03ce9a7fece6b97807f0">
  <xsd:schema xmlns:xsd="http://www.w3.org/2001/XMLSchema" xmlns:xs="http://www.w3.org/2001/XMLSchema" xmlns:p="http://schemas.microsoft.com/office/2006/metadata/properties" xmlns:ns2="e1f6ec56-9f22-425f-a979-71133cb0a889" xmlns:ns3="6acb6664-b18b-422d-a4d2-c029467d6ce9" targetNamespace="http://schemas.microsoft.com/office/2006/metadata/properties" ma:root="true" ma:fieldsID="83541554919cb5c5dd921951afc4afb5" ns2:_="" ns3:_="">
    <xsd:import namespace="e1f6ec56-9f22-425f-a979-71133cb0a889"/>
    <xsd:import namespace="6acb6664-b18b-422d-a4d2-c029467d6c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6ec56-9f22-425f-a979-71133cb0a8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177fc93-3684-4f9b-9c39-27c7ef918f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b6664-b18b-422d-a4d2-c029467d6ce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4a86fc-c7b3-4bd9-a009-2fb48bb2e1dc}" ma:internalName="TaxCatchAll" ma:showField="CatchAllData" ma:web="6acb6664-b18b-422d-a4d2-c029467d6c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549340-3BC7-4A6C-91E9-83A6775EA6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335107-713B-4E49-BB95-CACB819C8C93}">
  <ds:schemaRefs>
    <ds:schemaRef ds:uri="http://schemas.openxmlformats.org/package/2006/metadata/core-properties"/>
    <ds:schemaRef ds:uri="http://purl.org/dc/elements/1.1/"/>
    <ds:schemaRef ds:uri="e1f6ec56-9f22-425f-a979-71133cb0a889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6acb6664-b18b-422d-a4d2-c029467d6ce9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B78F305-48C9-4F4C-AD5F-1E35755864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f6ec56-9f22-425f-a979-71133cb0a889"/>
    <ds:schemaRef ds:uri="6acb6664-b18b-422d-a4d2-c029467d6c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Summary</vt:lpstr>
      <vt:lpstr>Inputs</vt:lpstr>
      <vt:lpstr>Bldg Layout</vt:lpstr>
      <vt:lpstr>Zoning</vt:lpstr>
      <vt:lpstr>Cash Flow - Modular</vt:lpstr>
      <vt:lpstr>Cash Flow - Traditional</vt:lpstr>
      <vt:lpstr>Pricing Data</vt:lpstr>
      <vt:lpstr>Graphics</vt:lpstr>
      <vt:lpstr>Comps</vt:lpstr>
      <vt:lpstr>Assumptions</vt:lpstr>
      <vt:lpstr>modularhardcost</vt:lpstr>
      <vt:lpstr>Summary!Print_Area</vt:lpstr>
      <vt:lpstr>traditionalhardcost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Ryan Briglia</dc:creator>
  <cp:keywords/>
  <dc:description/>
  <cp:lastModifiedBy>Kylie Clark</cp:lastModifiedBy>
  <cp:revision/>
  <dcterms:created xsi:type="dcterms:W3CDTF">2022-12-13T13:49:00Z</dcterms:created>
  <dcterms:modified xsi:type="dcterms:W3CDTF">2024-07-17T22:06:30Z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0x010100AD5F4BF900994A4BAC148D15F44B9E04</vt:lpwstr>
  </property>
  <property fmtid="{D5CDD505-2E9C-101B-9397-08002B2CF9AE}" pid="3" name="MediaServiceImageTags">
    <vt:lpwstr/>
  </property>
</Properties>
</file>